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p\Desktop\Гера\2024\"/>
    </mc:Choice>
  </mc:AlternateContent>
  <xr:revisionPtr revIDLastSave="0" documentId="13_ncr:1_{441440D5-6409-4D03-B56F-EA29FD11150D}" xr6:coauthVersionLast="47" xr6:coauthVersionMax="47" xr10:uidLastSave="{00000000-0000-0000-0000-000000000000}"/>
  <bookViews>
    <workbookView xWindow="-120" yWindow="-120" windowWidth="20730" windowHeight="11310" tabRatio="868" activeTab="1" xr2:uid="{00000000-000D-0000-FFFF-FFFF00000000}"/>
  </bookViews>
  <sheets>
    <sheet name="Место-баллы" sheetId="1" r:id="rId1"/>
    <sheet name="Ж" sheetId="33" r:id="rId2"/>
    <sheet name="М" sheetId="27" r:id="rId3"/>
    <sheet name="35-39 Ж" sheetId="32" r:id="rId4"/>
    <sheet name="35-39 М" sheetId="34" r:id="rId5"/>
    <sheet name="40-44 Ж" sheetId="35" r:id="rId6"/>
    <sheet name="40-44 М" sheetId="36" r:id="rId7"/>
    <sheet name="45-49 Ж" sheetId="37" r:id="rId8"/>
    <sheet name="45-49 М" sheetId="38" r:id="rId9"/>
    <sheet name="50-54 Ж" sheetId="39" r:id="rId10"/>
    <sheet name="50-54 М" sheetId="40" r:id="rId11"/>
    <sheet name="55+ Ж" sheetId="41" r:id="rId12"/>
    <sheet name="55+ М" sheetId="42" r:id="rId13"/>
    <sheet name="ММ" sheetId="43" r:id="rId14"/>
    <sheet name="МЖ" sheetId="44" r:id="rId15"/>
  </sheets>
  <definedNames>
    <definedName name="_xlnm._FilterDatabase" localSheetId="3" hidden="1">'35-39 Ж'!$B$7:$AN$7</definedName>
    <definedName name="_xlnm._FilterDatabase" localSheetId="4" hidden="1">'35-39 М'!$B$7:$AN$7</definedName>
    <definedName name="_xlnm._FilterDatabase" localSheetId="5" hidden="1">'40-44 Ж'!$B$7:$AN$7</definedName>
    <definedName name="_xlnm._FilterDatabase" localSheetId="6" hidden="1">'40-44 М'!$B$7:$AN$7</definedName>
    <definedName name="_xlnm._FilterDatabase" localSheetId="7" hidden="1">'45-49 Ж'!$B$7:$AN$7</definedName>
    <definedName name="_xlnm._FilterDatabase" localSheetId="8" hidden="1">'45-49 М'!$B$7:$AN$7</definedName>
    <definedName name="_xlnm._FilterDatabase" localSheetId="9" hidden="1">'50-54 Ж'!$B$7:$AN$7</definedName>
    <definedName name="_xlnm._FilterDatabase" localSheetId="10" hidden="1">'50-54 М'!$B$7:$AN$7</definedName>
    <definedName name="_xlnm._FilterDatabase" localSheetId="11" hidden="1">'55+ Ж'!$B$7:$AN$7</definedName>
    <definedName name="_xlnm._FilterDatabase" localSheetId="12" hidden="1">'55+ М'!$B$7:$AN$7</definedName>
    <definedName name="_xlnm._FilterDatabase" localSheetId="1" hidden="1">Ж!$B$7:$BI$7</definedName>
    <definedName name="_xlnm._FilterDatabase" localSheetId="2" hidden="1">М!$B$7:$BI$7</definedName>
    <definedName name="_xlnm._FilterDatabase" localSheetId="14" hidden="1">МЖ!$B$7:$AR$7</definedName>
    <definedName name="_xlnm._FilterDatabase" localSheetId="13" hidden="1">ММ!$B$7:$AR$7</definedName>
  </definedNames>
  <calcPr calcId="181029"/>
</workbook>
</file>

<file path=xl/calcChain.xml><?xml version="1.0" encoding="utf-8"?>
<calcChain xmlns="http://schemas.openxmlformats.org/spreadsheetml/2006/main">
  <c r="AB10" i="27" l="1"/>
  <c r="Z10" i="27"/>
  <c r="AC10" i="27" s="1"/>
  <c r="AB8" i="27"/>
  <c r="Z8" i="27"/>
  <c r="AC8" i="27" s="1"/>
  <c r="AB26" i="27"/>
  <c r="Z26" i="27"/>
  <c r="AC26" i="27" s="1"/>
  <c r="AB21" i="27"/>
  <c r="Z21" i="27"/>
  <c r="AC21" i="27" s="1"/>
  <c r="AB19" i="27"/>
  <c r="Z19" i="27"/>
  <c r="AC19" i="27" s="1"/>
  <c r="AE25" i="27"/>
  <c r="AB25" i="27"/>
  <c r="Z25" i="27"/>
  <c r="W25" i="27"/>
  <c r="AB18" i="27"/>
  <c r="Z18" i="27"/>
  <c r="AC18" i="27" s="1"/>
  <c r="AB17" i="27"/>
  <c r="Z17" i="27"/>
  <c r="AC17" i="27" s="1"/>
  <c r="W17" i="27"/>
  <c r="AE28" i="27"/>
  <c r="AB28" i="27"/>
  <c r="Z28" i="27"/>
  <c r="AC28" i="27" s="1"/>
  <c r="W28" i="27"/>
  <c r="AB29" i="27"/>
  <c r="Z29" i="27"/>
  <c r="AB24" i="27"/>
  <c r="Z24" i="27"/>
  <c r="AB15" i="27"/>
  <c r="Z15" i="27"/>
  <c r="AB9" i="27"/>
  <c r="Z9" i="27"/>
  <c r="AE23" i="27"/>
  <c r="AB23" i="27"/>
  <c r="Z23" i="27"/>
  <c r="AC23" i="27" s="1"/>
  <c r="W23" i="27"/>
  <c r="AB14" i="27"/>
  <c r="Z14" i="27"/>
  <c r="AB22" i="27"/>
  <c r="Z22" i="27"/>
  <c r="AE27" i="27"/>
  <c r="AB27" i="27"/>
  <c r="Z27" i="27"/>
  <c r="AC27" i="27" s="1"/>
  <c r="W27" i="27"/>
  <c r="AB16" i="27"/>
  <c r="Z16" i="27"/>
  <c r="AB13" i="27"/>
  <c r="Z13" i="27"/>
  <c r="AB12" i="27"/>
  <c r="Z12" i="27"/>
  <c r="AB20" i="27"/>
  <c r="Z20" i="27"/>
  <c r="AB11" i="27"/>
  <c r="Z11" i="27"/>
  <c r="AE11" i="33"/>
  <c r="AB11" i="33"/>
  <c r="Z11" i="33"/>
  <c r="AC11" i="33" s="1"/>
  <c r="W11" i="33"/>
  <c r="AE13" i="33"/>
  <c r="AB13" i="33"/>
  <c r="Z13" i="33"/>
  <c r="AC13" i="33" s="1"/>
  <c r="W13" i="33"/>
  <c r="AB12" i="33"/>
  <c r="Z12" i="33"/>
  <c r="W12" i="33"/>
  <c r="AB8" i="33"/>
  <c r="Z8" i="33"/>
  <c r="AC8" i="33" s="1"/>
  <c r="AB10" i="33"/>
  <c r="Z10" i="33"/>
  <c r="AC10" i="33" s="1"/>
  <c r="AB9" i="33"/>
  <c r="Z9" i="33"/>
  <c r="AC9" i="33" s="1"/>
  <c r="AC11" i="27" l="1"/>
  <c r="AC20" i="27"/>
  <c r="AC12" i="27"/>
  <c r="AC13" i="27"/>
  <c r="AC16" i="27"/>
  <c r="AC22" i="27"/>
  <c r="AC14" i="27"/>
  <c r="AD18" i="27" s="1"/>
  <c r="AE18" i="27" s="1"/>
  <c r="AC9" i="27"/>
  <c r="AC15" i="27"/>
  <c r="AC24" i="27"/>
  <c r="AC29" i="27"/>
  <c r="AC25" i="27"/>
  <c r="AD17" i="27"/>
  <c r="AE17" i="27" s="1"/>
  <c r="AD19" i="27"/>
  <c r="AE19" i="27" s="1"/>
  <c r="AD21" i="27"/>
  <c r="AE21" i="27" s="1"/>
  <c r="AD26" i="27"/>
  <c r="AE26" i="27" s="1"/>
  <c r="AD8" i="27"/>
  <c r="AE8" i="27" s="1"/>
  <c r="AD10" i="27"/>
  <c r="AE10" i="27" s="1"/>
  <c r="AD11" i="27"/>
  <c r="AE11" i="27" s="1"/>
  <c r="AD20" i="27"/>
  <c r="AE20" i="27" s="1"/>
  <c r="AD12" i="27"/>
  <c r="AE12" i="27" s="1"/>
  <c r="AD13" i="27"/>
  <c r="AE13" i="27" s="1"/>
  <c r="AD16" i="27"/>
  <c r="AE16" i="27" s="1"/>
  <c r="AD22" i="27"/>
  <c r="AE22" i="27" s="1"/>
  <c r="AD14" i="27"/>
  <c r="AE14" i="27" s="1"/>
  <c r="AD9" i="27"/>
  <c r="AE9" i="27" s="1"/>
  <c r="AD15" i="27"/>
  <c r="AE15" i="27" s="1"/>
  <c r="AD24" i="27"/>
  <c r="AE24" i="27" s="1"/>
  <c r="AD29" i="27"/>
  <c r="AE29" i="27" s="1"/>
  <c r="AC12" i="33"/>
  <c r="AD12" i="33" s="1"/>
  <c r="AE12" i="33" s="1"/>
  <c r="AD10" i="33"/>
  <c r="AE10" i="33" s="1"/>
  <c r="AD8" i="33" l="1"/>
  <c r="AE8" i="33" s="1"/>
  <c r="AD9" i="33"/>
  <c r="AE9" i="33" s="1"/>
  <c r="AE24" i="43" l="1"/>
  <c r="AE27" i="43"/>
  <c r="AF8" i="32"/>
  <c r="AF9" i="32"/>
  <c r="AF10" i="32"/>
  <c r="AF11" i="32"/>
  <c r="AE28" i="44" l="1"/>
  <c r="L17" i="44"/>
  <c r="L10" i="43"/>
  <c r="I10" i="43"/>
  <c r="L14" i="43"/>
  <c r="L24" i="43"/>
  <c r="L16" i="43"/>
  <c r="L8" i="43"/>
  <c r="L18" i="43"/>
  <c r="L25" i="43"/>
  <c r="L28" i="43"/>
  <c r="L21" i="43"/>
  <c r="L20" i="43"/>
  <c r="L12" i="43"/>
  <c r="L13" i="43"/>
  <c r="L17" i="43"/>
  <c r="L22" i="43"/>
  <c r="L23" i="43"/>
  <c r="L26" i="43"/>
  <c r="L11" i="43"/>
  <c r="L15" i="43"/>
  <c r="L27" i="43"/>
  <c r="L9" i="43"/>
  <c r="L19" i="43"/>
  <c r="L12" i="44"/>
  <c r="L23" i="44"/>
  <c r="L9" i="44"/>
  <c r="L8" i="44"/>
  <c r="L18" i="44"/>
  <c r="L10" i="44"/>
  <c r="L21" i="44"/>
  <c r="L13" i="44"/>
  <c r="S11" i="44"/>
  <c r="T11" i="44" s="1"/>
  <c r="L11" i="44"/>
  <c r="L20" i="44"/>
  <c r="AD18" i="44"/>
  <c r="AF18" i="44"/>
  <c r="AM18" i="44"/>
  <c r="AO18" i="44"/>
  <c r="AD25" i="44"/>
  <c r="AF25" i="44"/>
  <c r="AM25" i="44"/>
  <c r="AO25" i="44"/>
  <c r="AD11" i="44"/>
  <c r="AF11" i="44"/>
  <c r="AM11" i="44"/>
  <c r="AO11" i="44"/>
  <c r="AD17" i="44"/>
  <c r="AF17" i="44"/>
  <c r="AM17" i="44"/>
  <c r="AO17" i="44"/>
  <c r="AA20" i="44"/>
  <c r="AD20" i="44"/>
  <c r="AF20" i="44"/>
  <c r="AM20" i="44"/>
  <c r="AO20" i="44"/>
  <c r="AD13" i="44"/>
  <c r="AF13" i="44"/>
  <c r="AM13" i="44"/>
  <c r="AO13" i="44"/>
  <c r="AA19" i="44"/>
  <c r="AD19" i="44"/>
  <c r="AF19" i="44"/>
  <c r="AM19" i="44"/>
  <c r="AO19" i="44"/>
  <c r="AD27" i="44"/>
  <c r="AF27" i="44"/>
  <c r="AM27" i="44"/>
  <c r="AO27" i="44"/>
  <c r="AD16" i="44"/>
  <c r="AF16" i="44"/>
  <c r="AM16" i="44"/>
  <c r="AO16" i="44"/>
  <c r="AD23" i="44"/>
  <c r="AF23" i="44"/>
  <c r="AM23" i="44"/>
  <c r="AO23" i="44"/>
  <c r="AD15" i="44"/>
  <c r="AF15" i="44"/>
  <c r="AM15" i="44"/>
  <c r="AO15" i="44"/>
  <c r="AD29" i="44"/>
  <c r="AF29" i="44"/>
  <c r="AM29" i="44"/>
  <c r="AO29" i="44"/>
  <c r="AD21" i="44"/>
  <c r="AF21" i="44"/>
  <c r="AM21" i="44"/>
  <c r="AO21" i="44"/>
  <c r="AD9" i="44"/>
  <c r="AF9" i="44"/>
  <c r="AM9" i="44"/>
  <c r="AO9" i="44"/>
  <c r="AD26" i="44"/>
  <c r="AF26" i="44"/>
  <c r="AM26" i="44"/>
  <c r="AO26" i="44"/>
  <c r="AD12" i="44"/>
  <c r="AF12" i="44"/>
  <c r="AM12" i="44"/>
  <c r="AO12" i="44"/>
  <c r="AD14" i="44"/>
  <c r="AF14" i="44"/>
  <c r="AM14" i="44"/>
  <c r="AO14" i="44"/>
  <c r="AD24" i="44"/>
  <c r="AF24" i="44"/>
  <c r="AM24" i="44"/>
  <c r="AO24" i="44"/>
  <c r="AA28" i="44"/>
  <c r="AD28" i="44"/>
  <c r="AF28" i="44"/>
  <c r="AM28" i="44"/>
  <c r="AO28" i="44"/>
  <c r="AA22" i="44"/>
  <c r="AD22" i="44"/>
  <c r="AF22" i="44"/>
  <c r="AM22" i="44"/>
  <c r="AO22" i="44"/>
  <c r="AD10" i="44"/>
  <c r="AF10" i="44"/>
  <c r="AM10" i="44"/>
  <c r="AO10" i="44"/>
  <c r="T18" i="44"/>
  <c r="T25" i="44"/>
  <c r="T17" i="44"/>
  <c r="T20" i="44"/>
  <c r="T13" i="44"/>
  <c r="T19" i="44"/>
  <c r="T27" i="44"/>
  <c r="T16" i="44"/>
  <c r="T23" i="44"/>
  <c r="T15" i="44"/>
  <c r="T29" i="44"/>
  <c r="T21" i="44"/>
  <c r="T9" i="44"/>
  <c r="T26" i="44"/>
  <c r="T12" i="44"/>
  <c r="T14" i="44"/>
  <c r="T24" i="44"/>
  <c r="T28" i="44"/>
  <c r="T10" i="44"/>
  <c r="R18" i="44"/>
  <c r="R25" i="44"/>
  <c r="R11" i="44"/>
  <c r="R17" i="44"/>
  <c r="R20" i="44"/>
  <c r="R13" i="44"/>
  <c r="R19" i="44"/>
  <c r="R27" i="44"/>
  <c r="R16" i="44"/>
  <c r="R23" i="44"/>
  <c r="R15" i="44"/>
  <c r="R29" i="44"/>
  <c r="U29" i="44" s="1"/>
  <c r="R21" i="44"/>
  <c r="R9" i="44"/>
  <c r="R26" i="44"/>
  <c r="R12" i="44"/>
  <c r="U12" i="44" s="1"/>
  <c r="R14" i="44"/>
  <c r="U14" i="44" s="1"/>
  <c r="R24" i="44"/>
  <c r="U24" i="44" s="1"/>
  <c r="R28" i="44"/>
  <c r="U28" i="44" s="1"/>
  <c r="R22" i="44"/>
  <c r="I18" i="44"/>
  <c r="J18" i="44" s="1"/>
  <c r="I25" i="44"/>
  <c r="J25" i="44" s="1"/>
  <c r="I11" i="44"/>
  <c r="J11" i="44" s="1"/>
  <c r="I17" i="44"/>
  <c r="J17" i="44" s="1"/>
  <c r="I20" i="44"/>
  <c r="J20" i="44" s="1"/>
  <c r="I13" i="44"/>
  <c r="J13" i="44" s="1"/>
  <c r="I19" i="44"/>
  <c r="J19" i="44" s="1"/>
  <c r="I27" i="44"/>
  <c r="J27" i="44" s="1"/>
  <c r="I16" i="44"/>
  <c r="J16" i="44" s="1"/>
  <c r="I23" i="44"/>
  <c r="J23" i="44" s="1"/>
  <c r="I15" i="44"/>
  <c r="J15" i="44" s="1"/>
  <c r="I29" i="44"/>
  <c r="J29" i="44" s="1"/>
  <c r="I21" i="44"/>
  <c r="J21" i="44" s="1"/>
  <c r="I9" i="44"/>
  <c r="J9" i="44" s="1"/>
  <c r="I26" i="44"/>
  <c r="J26" i="44" s="1"/>
  <c r="I12" i="44"/>
  <c r="J12" i="44" s="1"/>
  <c r="I14" i="44"/>
  <c r="J14" i="44" s="1"/>
  <c r="I24" i="44"/>
  <c r="J24" i="44" s="1"/>
  <c r="I28" i="44"/>
  <c r="J28" i="44" s="1"/>
  <c r="I22" i="44"/>
  <c r="J22" i="44" s="1"/>
  <c r="I10" i="44"/>
  <c r="J10" i="44" s="1"/>
  <c r="L19" i="44"/>
  <c r="L26" i="44"/>
  <c r="M26" i="44" s="1"/>
  <c r="N26" i="44" s="1"/>
  <c r="L27" i="44"/>
  <c r="L14" i="44"/>
  <c r="S22" i="44"/>
  <c r="T22" i="44" s="1"/>
  <c r="U22" i="44" s="1"/>
  <c r="L22" i="44"/>
  <c r="L24" i="44"/>
  <c r="L29" i="44"/>
  <c r="L15" i="44"/>
  <c r="L25" i="44"/>
  <c r="M19" i="44" s="1"/>
  <c r="N19" i="44" s="1"/>
  <c r="L16" i="44"/>
  <c r="L28" i="44"/>
  <c r="BA13" i="33"/>
  <c r="BA11" i="33"/>
  <c r="BA12" i="33"/>
  <c r="BA10" i="33"/>
  <c r="BA9" i="33"/>
  <c r="BA8" i="33"/>
  <c r="BA19" i="27"/>
  <c r="BA21" i="27"/>
  <c r="AJ8" i="41"/>
  <c r="AI14" i="36"/>
  <c r="AK14" i="36"/>
  <c r="AF14" i="36"/>
  <c r="X14" i="38"/>
  <c r="X20" i="38"/>
  <c r="X2" i="38"/>
  <c r="X2" i="40"/>
  <c r="O11" i="34"/>
  <c r="O24" i="34"/>
  <c r="O9" i="34"/>
  <c r="O23" i="34"/>
  <c r="O17" i="34"/>
  <c r="O25" i="34"/>
  <c r="O10" i="34"/>
  <c r="O12" i="34"/>
  <c r="O13" i="34"/>
  <c r="O10" i="36"/>
  <c r="O22" i="36"/>
  <c r="O8" i="36"/>
  <c r="O21" i="38"/>
  <c r="O11" i="38"/>
  <c r="O17" i="38"/>
  <c r="O18" i="38"/>
  <c r="O20" i="38"/>
  <c r="O15" i="38"/>
  <c r="O10" i="38"/>
  <c r="U25" i="44" l="1"/>
  <c r="AP10" i="44"/>
  <c r="AG10" i="44"/>
  <c r="AP28" i="44"/>
  <c r="AG28" i="44"/>
  <c r="AP14" i="44"/>
  <c r="AG14" i="44"/>
  <c r="AP26" i="44"/>
  <c r="AG26" i="44"/>
  <c r="AP21" i="44"/>
  <c r="AG21" i="44"/>
  <c r="AP15" i="44"/>
  <c r="AG15" i="44"/>
  <c r="AP16" i="44"/>
  <c r="AG16" i="44"/>
  <c r="AP19" i="44"/>
  <c r="AG19" i="44"/>
  <c r="AG20" i="44"/>
  <c r="AG11" i="44"/>
  <c r="AG18" i="44"/>
  <c r="U26" i="44"/>
  <c r="U21" i="44"/>
  <c r="U15" i="44"/>
  <c r="U16" i="44"/>
  <c r="U19" i="44"/>
  <c r="U20" i="44"/>
  <c r="U27" i="44"/>
  <c r="U13" i="44"/>
  <c r="U17" i="44"/>
  <c r="AG22" i="44"/>
  <c r="AG24" i="44"/>
  <c r="AG12" i="44"/>
  <c r="AG9" i="44"/>
  <c r="AG29" i="44"/>
  <c r="AG23" i="44"/>
  <c r="AG27" i="44"/>
  <c r="AG13" i="44"/>
  <c r="AP17" i="44"/>
  <c r="AG17" i="44"/>
  <c r="AP25" i="44"/>
  <c r="AG25" i="44"/>
  <c r="U9" i="44"/>
  <c r="U23" i="44"/>
  <c r="AP22" i="44"/>
  <c r="AP24" i="44"/>
  <c r="AP12" i="44"/>
  <c r="AP9" i="44"/>
  <c r="AP29" i="44"/>
  <c r="AP23" i="44"/>
  <c r="AP27" i="44"/>
  <c r="AP13" i="44"/>
  <c r="AP20" i="44"/>
  <c r="AP11" i="44"/>
  <c r="AP18" i="44"/>
  <c r="M17" i="44"/>
  <c r="N17" i="44" s="1"/>
  <c r="M28" i="44"/>
  <c r="N28" i="44" s="1"/>
  <c r="M15" i="44"/>
  <c r="N15" i="44" s="1"/>
  <c r="M25" i="44"/>
  <c r="N25" i="44" s="1"/>
  <c r="M10" i="44"/>
  <c r="N10" i="44" s="1"/>
  <c r="M14" i="44"/>
  <c r="N14" i="44" s="1"/>
  <c r="M21" i="44"/>
  <c r="N21" i="44" s="1"/>
  <c r="M16" i="44"/>
  <c r="N16" i="44" s="1"/>
  <c r="M11" i="44"/>
  <c r="N11" i="44" s="1"/>
  <c r="U18" i="44"/>
  <c r="M22" i="44"/>
  <c r="N22" i="44" s="1"/>
  <c r="M24" i="44"/>
  <c r="N24" i="44" s="1"/>
  <c r="M12" i="44"/>
  <c r="N12" i="44" s="1"/>
  <c r="M9" i="44"/>
  <c r="N9" i="44" s="1"/>
  <c r="M29" i="44"/>
  <c r="N29" i="44" s="1"/>
  <c r="M23" i="44"/>
  <c r="N23" i="44" s="1"/>
  <c r="M27" i="44"/>
  <c r="N27" i="44" s="1"/>
  <c r="M13" i="44"/>
  <c r="N13" i="44" s="1"/>
  <c r="M20" i="44"/>
  <c r="N20" i="44" s="1"/>
  <c r="U11" i="44"/>
  <c r="AL14" i="36"/>
  <c r="O11" i="40" l="1"/>
  <c r="P11" i="40" s="1"/>
  <c r="O9" i="40"/>
  <c r="P9" i="40" s="1"/>
  <c r="O13" i="40"/>
  <c r="P13" i="40" s="1"/>
  <c r="O8" i="40"/>
  <c r="O14" i="40"/>
  <c r="P14" i="40" s="1"/>
  <c r="O16" i="40"/>
  <c r="O10" i="40"/>
  <c r="O17" i="40"/>
  <c r="O12" i="40"/>
  <c r="P12" i="40" s="1"/>
  <c r="O8" i="32"/>
  <c r="O10" i="35"/>
  <c r="O11" i="35"/>
  <c r="O8" i="37"/>
  <c r="I8" i="40"/>
  <c r="J8" i="40" s="1"/>
  <c r="N8" i="40"/>
  <c r="P8" i="40"/>
  <c r="W8" i="40"/>
  <c r="Y8" i="40"/>
  <c r="AF8" i="40"/>
  <c r="AI8" i="40"/>
  <c r="AK8" i="40"/>
  <c r="I11" i="40"/>
  <c r="J11" i="40" s="1"/>
  <c r="N11" i="40"/>
  <c r="W11" i="40"/>
  <c r="Y11" i="40"/>
  <c r="AF11" i="40"/>
  <c r="AI11" i="40"/>
  <c r="AK11" i="40"/>
  <c r="I20" i="40"/>
  <c r="J20" i="40" s="1"/>
  <c r="N20" i="40"/>
  <c r="P20" i="40"/>
  <c r="W20" i="40"/>
  <c r="Y20" i="40"/>
  <c r="I22" i="40"/>
  <c r="J22" i="40" s="1"/>
  <c r="N22" i="40"/>
  <c r="P22" i="40"/>
  <c r="W22" i="40"/>
  <c r="Y22" i="40"/>
  <c r="I13" i="40"/>
  <c r="J13" i="40" s="1"/>
  <c r="N13" i="40"/>
  <c r="W13" i="40"/>
  <c r="Y13" i="40"/>
  <c r="AF13" i="40"/>
  <c r="AI13" i="40"/>
  <c r="AK13" i="40"/>
  <c r="I9" i="40"/>
  <c r="J9" i="40" s="1"/>
  <c r="N9" i="40"/>
  <c r="W9" i="40"/>
  <c r="Y9" i="40"/>
  <c r="AF9" i="40"/>
  <c r="AI9" i="40"/>
  <c r="AK9" i="40"/>
  <c r="I19" i="40"/>
  <c r="J19" i="40" s="1"/>
  <c r="N19" i="40"/>
  <c r="P19" i="40"/>
  <c r="W19" i="40"/>
  <c r="Y19" i="40"/>
  <c r="I14" i="40"/>
  <c r="J14" i="40" s="1"/>
  <c r="N14" i="40"/>
  <c r="W14" i="40"/>
  <c r="Y14" i="40"/>
  <c r="AF14" i="40"/>
  <c r="AI14" i="40"/>
  <c r="AK14" i="40"/>
  <c r="I10" i="40"/>
  <c r="J10" i="40" s="1"/>
  <c r="N10" i="40"/>
  <c r="P10" i="40"/>
  <c r="W10" i="40"/>
  <c r="Y10" i="40"/>
  <c r="AF10" i="40"/>
  <c r="AI10" i="40"/>
  <c r="AK10" i="40"/>
  <c r="I21" i="40"/>
  <c r="J21" i="40" s="1"/>
  <c r="N21" i="40"/>
  <c r="P21" i="40"/>
  <c r="W21" i="40"/>
  <c r="Y21" i="40"/>
  <c r="I18" i="40"/>
  <c r="J18" i="40" s="1"/>
  <c r="N18" i="40"/>
  <c r="P18" i="40"/>
  <c r="W18" i="40"/>
  <c r="Y18" i="40"/>
  <c r="I12" i="40"/>
  <c r="J12" i="40" s="1"/>
  <c r="N12" i="40"/>
  <c r="W12" i="40"/>
  <c r="Y12" i="40"/>
  <c r="AF12" i="40"/>
  <c r="AI12" i="40"/>
  <c r="AK12" i="40"/>
  <c r="I16" i="40"/>
  <c r="J16" i="40" s="1"/>
  <c r="N16" i="40"/>
  <c r="P16" i="40"/>
  <c r="W16" i="40"/>
  <c r="Y16" i="40"/>
  <c r="I17" i="40"/>
  <c r="J17" i="40" s="1"/>
  <c r="N17" i="40"/>
  <c r="P17" i="40"/>
  <c r="W17" i="40"/>
  <c r="Y17" i="40"/>
  <c r="H8" i="27"/>
  <c r="H10" i="27"/>
  <c r="H12" i="27"/>
  <c r="H11" i="27"/>
  <c r="H9" i="27"/>
  <c r="H17" i="27"/>
  <c r="H14" i="27"/>
  <c r="H16" i="27"/>
  <c r="H13" i="27"/>
  <c r="H26" i="27"/>
  <c r="H22" i="27"/>
  <c r="H18" i="27"/>
  <c r="H27" i="27"/>
  <c r="H24" i="27"/>
  <c r="H15" i="27"/>
  <c r="H25" i="27"/>
  <c r="H20" i="27"/>
  <c r="H21" i="27"/>
  <c r="H19" i="27"/>
  <c r="H28" i="27"/>
  <c r="H23" i="27"/>
  <c r="H8" i="33"/>
  <c r="H12" i="33"/>
  <c r="H9" i="33"/>
  <c r="H13" i="33"/>
  <c r="H11" i="33"/>
  <c r="H10" i="33"/>
  <c r="N27" i="27"/>
  <c r="P27" i="27"/>
  <c r="N29" i="27"/>
  <c r="P29" i="27"/>
  <c r="N22" i="27"/>
  <c r="P22" i="27"/>
  <c r="AI22" i="27"/>
  <c r="AK22" i="27"/>
  <c r="AR22" i="27"/>
  <c r="AT22" i="27"/>
  <c r="BD22" i="27"/>
  <c r="BF22" i="27"/>
  <c r="N28" i="27"/>
  <c r="P28" i="27"/>
  <c r="N11" i="27"/>
  <c r="P11" i="27"/>
  <c r="AI11" i="27"/>
  <c r="AK11" i="27"/>
  <c r="AR11" i="27"/>
  <c r="AT11" i="27"/>
  <c r="BD11" i="27"/>
  <c r="BF11" i="27"/>
  <c r="N18" i="27"/>
  <c r="P18" i="27"/>
  <c r="AI18" i="27"/>
  <c r="AK18" i="27"/>
  <c r="AR18" i="27"/>
  <c r="AT18" i="27"/>
  <c r="BD18" i="27"/>
  <c r="BF18" i="27"/>
  <c r="N20" i="27"/>
  <c r="P20" i="27"/>
  <c r="AI20" i="27"/>
  <c r="AK20" i="27"/>
  <c r="AR20" i="27"/>
  <c r="AT20" i="27"/>
  <c r="BD20" i="27"/>
  <c r="BF20" i="27"/>
  <c r="N13" i="27"/>
  <c r="P13" i="27"/>
  <c r="AI13" i="27"/>
  <c r="AK13" i="27"/>
  <c r="AR13" i="27"/>
  <c r="AT13" i="27"/>
  <c r="BD13" i="27"/>
  <c r="BF13" i="27"/>
  <c r="N9" i="27"/>
  <c r="P9" i="27"/>
  <c r="AI9" i="27"/>
  <c r="AK9" i="27"/>
  <c r="AR9" i="27"/>
  <c r="AT9" i="27"/>
  <c r="BD9" i="27"/>
  <c r="BF9" i="27"/>
  <c r="N10" i="27"/>
  <c r="P10" i="27"/>
  <c r="AI10" i="27"/>
  <c r="AK10" i="27"/>
  <c r="AR10" i="27"/>
  <c r="AT10" i="27"/>
  <c r="BD10" i="27"/>
  <c r="BF10" i="27"/>
  <c r="N8" i="27"/>
  <c r="P8" i="27"/>
  <c r="AI8" i="27"/>
  <c r="AK8" i="27"/>
  <c r="AR8" i="27"/>
  <c r="AT8" i="27"/>
  <c r="BD8" i="27"/>
  <c r="BF8" i="27"/>
  <c r="N14" i="27"/>
  <c r="P14" i="27"/>
  <c r="AI14" i="27"/>
  <c r="AK14" i="27"/>
  <c r="AR14" i="27"/>
  <c r="AT14" i="27"/>
  <c r="BD14" i="27"/>
  <c r="BF14" i="27"/>
  <c r="N25" i="27"/>
  <c r="P25" i="27"/>
  <c r="AI25" i="27"/>
  <c r="AK25" i="27"/>
  <c r="AR25" i="27"/>
  <c r="AT25" i="27"/>
  <c r="N15" i="27"/>
  <c r="P15" i="27"/>
  <c r="AI15" i="27"/>
  <c r="AK15" i="27"/>
  <c r="AR15" i="27"/>
  <c r="AT15" i="27"/>
  <c r="BD15" i="27"/>
  <c r="BF15" i="27"/>
  <c r="N12" i="27"/>
  <c r="P12" i="27"/>
  <c r="AI12" i="27"/>
  <c r="AK12" i="27"/>
  <c r="AR12" i="27"/>
  <c r="AT12" i="27"/>
  <c r="BD12" i="27"/>
  <c r="BF12" i="27"/>
  <c r="N21" i="27"/>
  <c r="P21" i="27"/>
  <c r="AI21" i="27"/>
  <c r="AK21" i="27"/>
  <c r="AR21" i="27"/>
  <c r="AT21" i="27"/>
  <c r="BD21" i="27"/>
  <c r="BF21" i="27"/>
  <c r="N19" i="27"/>
  <c r="P19" i="27"/>
  <c r="AI19" i="27"/>
  <c r="AK19" i="27"/>
  <c r="AR19" i="27"/>
  <c r="AT19" i="27"/>
  <c r="BD19" i="27"/>
  <c r="BF19" i="27"/>
  <c r="N26" i="27"/>
  <c r="P26" i="27"/>
  <c r="AI26" i="27"/>
  <c r="AK26" i="27"/>
  <c r="N16" i="27"/>
  <c r="P16" i="27"/>
  <c r="AI16" i="27"/>
  <c r="AK16" i="27"/>
  <c r="AR16" i="27"/>
  <c r="AT16" i="27"/>
  <c r="BD16" i="27"/>
  <c r="BF16" i="27"/>
  <c r="N23" i="27"/>
  <c r="P23" i="27"/>
  <c r="AI23" i="27"/>
  <c r="AK23" i="27"/>
  <c r="AR23" i="27"/>
  <c r="AT23" i="27"/>
  <c r="N17" i="27"/>
  <c r="P17" i="27"/>
  <c r="AI17" i="27"/>
  <c r="AK17" i="27"/>
  <c r="AR17" i="27"/>
  <c r="AT17" i="27"/>
  <c r="BD17" i="27"/>
  <c r="BF17" i="27"/>
  <c r="N24" i="27"/>
  <c r="P24" i="27"/>
  <c r="AI24" i="27"/>
  <c r="AK24" i="27"/>
  <c r="AR24" i="27"/>
  <c r="AT24" i="27"/>
  <c r="I9" i="43"/>
  <c r="J9" i="43" s="1"/>
  <c r="M9" i="43"/>
  <c r="N9" i="43" s="1"/>
  <c r="R9" i="43"/>
  <c r="T9" i="43"/>
  <c r="AD9" i="43"/>
  <c r="AF9" i="43"/>
  <c r="AM9" i="43"/>
  <c r="AO9" i="43"/>
  <c r="I11" i="43"/>
  <c r="J11" i="43" s="1"/>
  <c r="M11" i="43"/>
  <c r="N11" i="43" s="1"/>
  <c r="R11" i="43"/>
  <c r="T11" i="43"/>
  <c r="AD11" i="43"/>
  <c r="AF11" i="43"/>
  <c r="AM11" i="43"/>
  <c r="AO11" i="43"/>
  <c r="I19" i="43"/>
  <c r="J19" i="43" s="1"/>
  <c r="M19" i="43"/>
  <c r="N19" i="43" s="1"/>
  <c r="R19" i="43"/>
  <c r="T19" i="43"/>
  <c r="AA19" i="43"/>
  <c r="AD19" i="43"/>
  <c r="AF19" i="43"/>
  <c r="AM19" i="43"/>
  <c r="AO19" i="43"/>
  <c r="I15" i="43"/>
  <c r="J15" i="43" s="1"/>
  <c r="M15" i="43"/>
  <c r="N15" i="43" s="1"/>
  <c r="R15" i="43"/>
  <c r="T15" i="43"/>
  <c r="AD15" i="43"/>
  <c r="AF15" i="43"/>
  <c r="AM15" i="43"/>
  <c r="AO15" i="43"/>
  <c r="I27" i="43"/>
  <c r="J27" i="43" s="1"/>
  <c r="M27" i="43"/>
  <c r="N27" i="43" s="1"/>
  <c r="R27" i="43"/>
  <c r="T27" i="43"/>
  <c r="AD27" i="43"/>
  <c r="AF27" i="43"/>
  <c r="AM27" i="43"/>
  <c r="AO27" i="43"/>
  <c r="I12" i="43"/>
  <c r="J12" i="43" s="1"/>
  <c r="M12" i="43"/>
  <c r="N12" i="43" s="1"/>
  <c r="R12" i="43"/>
  <c r="T12" i="43"/>
  <c r="AD12" i="43"/>
  <c r="AF12" i="43"/>
  <c r="AM12" i="43"/>
  <c r="AO12" i="43"/>
  <c r="I22" i="43"/>
  <c r="J22" i="43" s="1"/>
  <c r="M22" i="43"/>
  <c r="N22" i="43" s="1"/>
  <c r="R22" i="43"/>
  <c r="T22" i="43"/>
  <c r="AA22" i="43"/>
  <c r="AD22" i="43"/>
  <c r="AF22" i="43"/>
  <c r="AM22" i="43"/>
  <c r="AO22" i="43"/>
  <c r="I20" i="43"/>
  <c r="J20" i="43" s="1"/>
  <c r="M20" i="43"/>
  <c r="N20" i="43" s="1"/>
  <c r="R20" i="43"/>
  <c r="T20" i="43"/>
  <c r="AD20" i="43"/>
  <c r="AF20" i="43"/>
  <c r="AM20" i="43"/>
  <c r="AO20" i="43"/>
  <c r="I28" i="43"/>
  <c r="J28" i="43" s="1"/>
  <c r="M28" i="43"/>
  <c r="N28" i="43" s="1"/>
  <c r="R28" i="43"/>
  <c r="T28" i="43"/>
  <c r="I23" i="43"/>
  <c r="J23" i="43" s="1"/>
  <c r="M23" i="43"/>
  <c r="N23" i="43" s="1"/>
  <c r="R23" i="43"/>
  <c r="T23" i="43"/>
  <c r="AA23" i="43"/>
  <c r="AD23" i="43"/>
  <c r="AF23" i="43"/>
  <c r="AM23" i="43"/>
  <c r="AO23" i="43"/>
  <c r="I13" i="43"/>
  <c r="J13" i="43" s="1"/>
  <c r="M13" i="43"/>
  <c r="N13" i="43" s="1"/>
  <c r="R13" i="43"/>
  <c r="T13" i="43"/>
  <c r="AD13" i="43"/>
  <c r="AF13" i="43"/>
  <c r="AM13" i="43"/>
  <c r="AO13" i="43"/>
  <c r="I21" i="43"/>
  <c r="J21" i="43" s="1"/>
  <c r="M21" i="43"/>
  <c r="N21" i="43" s="1"/>
  <c r="R21" i="43"/>
  <c r="T21" i="43"/>
  <c r="AD21" i="43"/>
  <c r="AF21" i="43"/>
  <c r="AM21" i="43"/>
  <c r="AO21" i="43"/>
  <c r="I17" i="43"/>
  <c r="J17" i="43" s="1"/>
  <c r="M17" i="43"/>
  <c r="N17" i="43" s="1"/>
  <c r="R17" i="43"/>
  <c r="T17" i="43"/>
  <c r="AA17" i="43"/>
  <c r="AD17" i="43"/>
  <c r="AF17" i="43"/>
  <c r="AM17" i="43"/>
  <c r="AO17" i="43"/>
  <c r="I14" i="43"/>
  <c r="J14" i="43" s="1"/>
  <c r="M14" i="43"/>
  <c r="N14" i="43" s="1"/>
  <c r="R14" i="43"/>
  <c r="T14" i="43"/>
  <c r="AD14" i="43"/>
  <c r="AF14" i="43"/>
  <c r="AM14" i="43"/>
  <c r="AO14" i="43"/>
  <c r="J10" i="43"/>
  <c r="M10" i="43"/>
  <c r="N10" i="43" s="1"/>
  <c r="R10" i="43"/>
  <c r="T10" i="43"/>
  <c r="AD10" i="43"/>
  <c r="AF10" i="43"/>
  <c r="AM10" i="43"/>
  <c r="AO10" i="43"/>
  <c r="I8" i="43"/>
  <c r="J8" i="43" s="1"/>
  <c r="M8" i="43"/>
  <c r="N8" i="43" s="1"/>
  <c r="R8" i="43"/>
  <c r="T8" i="43"/>
  <c r="AD8" i="43"/>
  <c r="AF8" i="43"/>
  <c r="AM8" i="43"/>
  <c r="AO8" i="43"/>
  <c r="I25" i="43"/>
  <c r="J25" i="43" s="1"/>
  <c r="M25" i="43"/>
  <c r="N25" i="43" s="1"/>
  <c r="R25" i="43"/>
  <c r="T25" i="43"/>
  <c r="AD25" i="43"/>
  <c r="AF25" i="43"/>
  <c r="AM25" i="43"/>
  <c r="AO25" i="43"/>
  <c r="I16" i="43"/>
  <c r="J16" i="43" s="1"/>
  <c r="M16" i="43"/>
  <c r="N16" i="43" s="1"/>
  <c r="R16" i="43"/>
  <c r="T16" i="43"/>
  <c r="AD16" i="43"/>
  <c r="AF16" i="43"/>
  <c r="AM16" i="43"/>
  <c r="AO16" i="43"/>
  <c r="I18" i="43"/>
  <c r="J18" i="43" s="1"/>
  <c r="M18" i="43"/>
  <c r="N18" i="43" s="1"/>
  <c r="R18" i="43"/>
  <c r="T18" i="43"/>
  <c r="AA18" i="43"/>
  <c r="AD18" i="43"/>
  <c r="AF18" i="43"/>
  <c r="AM18" i="43"/>
  <c r="AO18" i="43"/>
  <c r="I24" i="43"/>
  <c r="J24" i="43" s="1"/>
  <c r="M24" i="43"/>
  <c r="N24" i="43" s="1"/>
  <c r="R24" i="43"/>
  <c r="T24" i="43"/>
  <c r="AD24" i="43"/>
  <c r="AF24" i="43"/>
  <c r="AM24" i="43"/>
  <c r="AO24" i="43"/>
  <c r="I22" i="34"/>
  <c r="J22" i="34" s="1"/>
  <c r="N22" i="34"/>
  <c r="P22" i="34"/>
  <c r="W22" i="34"/>
  <c r="Y22" i="34"/>
  <c r="I24" i="34"/>
  <c r="J24" i="34" s="1"/>
  <c r="N24" i="34"/>
  <c r="P24" i="34"/>
  <c r="W24" i="34"/>
  <c r="Y24" i="34"/>
  <c r="I11" i="34"/>
  <c r="J11" i="34" s="1"/>
  <c r="N11" i="34"/>
  <c r="P11" i="34"/>
  <c r="W11" i="34"/>
  <c r="Y11" i="34"/>
  <c r="AF11" i="34"/>
  <c r="AI11" i="34"/>
  <c r="AK11" i="34"/>
  <c r="I18" i="34"/>
  <c r="J18" i="34" s="1"/>
  <c r="N18" i="34"/>
  <c r="P18" i="34"/>
  <c r="W18" i="34"/>
  <c r="Y18" i="34"/>
  <c r="I13" i="34"/>
  <c r="J13" i="34" s="1"/>
  <c r="N13" i="34"/>
  <c r="P13" i="34"/>
  <c r="W13" i="34"/>
  <c r="Y13" i="34"/>
  <c r="AF13" i="34"/>
  <c r="AI13" i="34"/>
  <c r="AK13" i="34"/>
  <c r="I15" i="34"/>
  <c r="J15" i="34" s="1"/>
  <c r="N15" i="34"/>
  <c r="P15" i="34"/>
  <c r="W15" i="34"/>
  <c r="Y15" i="34"/>
  <c r="AF15" i="34"/>
  <c r="AI15" i="34"/>
  <c r="AK15" i="34"/>
  <c r="I20" i="34"/>
  <c r="J20" i="34" s="1"/>
  <c r="N20" i="34"/>
  <c r="P20" i="34"/>
  <c r="W20" i="34"/>
  <c r="Y20" i="34"/>
  <c r="I10" i="34"/>
  <c r="J10" i="34" s="1"/>
  <c r="N10" i="34"/>
  <c r="P10" i="34"/>
  <c r="W10" i="34"/>
  <c r="Y10" i="34"/>
  <c r="AF10" i="34"/>
  <c r="AI10" i="34"/>
  <c r="AK10" i="34"/>
  <c r="I25" i="34"/>
  <c r="J25" i="34" s="1"/>
  <c r="N25" i="34"/>
  <c r="P25" i="34"/>
  <c r="W25" i="34"/>
  <c r="Y25" i="34"/>
  <c r="I23" i="34"/>
  <c r="J23" i="34" s="1"/>
  <c r="N23" i="34"/>
  <c r="P23" i="34"/>
  <c r="W23" i="34"/>
  <c r="Y23" i="34"/>
  <c r="I17" i="34"/>
  <c r="J17" i="34" s="1"/>
  <c r="N17" i="34"/>
  <c r="P17" i="34"/>
  <c r="W17" i="34"/>
  <c r="Y17" i="34"/>
  <c r="I27" i="34"/>
  <c r="J27" i="34" s="1"/>
  <c r="N27" i="34"/>
  <c r="P27" i="34"/>
  <c r="W27" i="34"/>
  <c r="Y27" i="34"/>
  <c r="I28" i="34"/>
  <c r="J28" i="34" s="1"/>
  <c r="N28" i="34"/>
  <c r="P28" i="34"/>
  <c r="W28" i="34"/>
  <c r="Y28" i="34"/>
  <c r="I16" i="34"/>
  <c r="J16" i="34" s="1"/>
  <c r="N16" i="34"/>
  <c r="P16" i="34"/>
  <c r="W16" i="34"/>
  <c r="Y16" i="34"/>
  <c r="I12" i="34"/>
  <c r="J12" i="34" s="1"/>
  <c r="N12" i="34"/>
  <c r="P12" i="34"/>
  <c r="W12" i="34"/>
  <c r="Y12" i="34"/>
  <c r="AF12" i="34"/>
  <c r="AI12" i="34"/>
  <c r="AK12" i="34"/>
  <c r="I21" i="34"/>
  <c r="J21" i="34" s="1"/>
  <c r="N21" i="34"/>
  <c r="P21" i="34"/>
  <c r="W21" i="34"/>
  <c r="Y21" i="34"/>
  <c r="I8" i="34"/>
  <c r="J8" i="34" s="1"/>
  <c r="N8" i="34"/>
  <c r="P8" i="34"/>
  <c r="W8" i="34"/>
  <c r="Y8" i="34"/>
  <c r="AF8" i="34"/>
  <c r="AI8" i="34"/>
  <c r="AK8" i="34"/>
  <c r="I9" i="34"/>
  <c r="J9" i="34" s="1"/>
  <c r="N9" i="34"/>
  <c r="P9" i="34"/>
  <c r="W9" i="34"/>
  <c r="Y9" i="34"/>
  <c r="AF9" i="34"/>
  <c r="AI9" i="34"/>
  <c r="AK9" i="34"/>
  <c r="I19" i="34"/>
  <c r="J19" i="34" s="1"/>
  <c r="N19" i="34"/>
  <c r="P19" i="34"/>
  <c r="W19" i="34"/>
  <c r="Y19" i="34"/>
  <c r="I26" i="34"/>
  <c r="J26" i="34" s="1"/>
  <c r="N26" i="34"/>
  <c r="P26" i="34"/>
  <c r="W26" i="34"/>
  <c r="Y26" i="34"/>
  <c r="I14" i="34"/>
  <c r="J14" i="34" s="1"/>
  <c r="N14" i="34"/>
  <c r="P14" i="34"/>
  <c r="W14" i="34"/>
  <c r="Y14" i="34"/>
  <c r="AF14" i="34"/>
  <c r="AI14" i="34"/>
  <c r="AK14" i="34"/>
  <c r="I19" i="38"/>
  <c r="J19" i="38" s="1"/>
  <c r="N19" i="38"/>
  <c r="P19" i="38"/>
  <c r="W19" i="38"/>
  <c r="Y19" i="38"/>
  <c r="I17" i="38"/>
  <c r="J17" i="38" s="1"/>
  <c r="N17" i="38"/>
  <c r="P17" i="38"/>
  <c r="W17" i="38"/>
  <c r="Y17" i="38"/>
  <c r="I18" i="38"/>
  <c r="J18" i="38" s="1"/>
  <c r="N18" i="38"/>
  <c r="P18" i="38"/>
  <c r="W18" i="38"/>
  <c r="Y18" i="38"/>
  <c r="I16" i="38"/>
  <c r="J16" i="38" s="1"/>
  <c r="N16" i="38"/>
  <c r="P16" i="38"/>
  <c r="W16" i="38"/>
  <c r="Y16" i="38"/>
  <c r="I13" i="38"/>
  <c r="J13" i="38" s="1"/>
  <c r="N13" i="38"/>
  <c r="P13" i="38"/>
  <c r="W13" i="38"/>
  <c r="Y13" i="38"/>
  <c r="AF13" i="38"/>
  <c r="AI13" i="38"/>
  <c r="AK13" i="38"/>
  <c r="I15" i="38"/>
  <c r="J15" i="38" s="1"/>
  <c r="N15" i="38"/>
  <c r="P15" i="38"/>
  <c r="W15" i="38"/>
  <c r="Y15" i="38"/>
  <c r="AF15" i="38"/>
  <c r="AI15" i="38"/>
  <c r="AK15" i="38"/>
  <c r="I10" i="38"/>
  <c r="J10" i="38" s="1"/>
  <c r="N10" i="38"/>
  <c r="P10" i="38"/>
  <c r="W10" i="38"/>
  <c r="Y10" i="38"/>
  <c r="AF10" i="38"/>
  <c r="AI10" i="38"/>
  <c r="AK10" i="38"/>
  <c r="I12" i="38"/>
  <c r="J12" i="38" s="1"/>
  <c r="N12" i="38"/>
  <c r="P12" i="38"/>
  <c r="W12" i="38"/>
  <c r="Y12" i="38"/>
  <c r="AF12" i="38"/>
  <c r="AI12" i="38"/>
  <c r="AK12" i="38"/>
  <c r="I9" i="38"/>
  <c r="J9" i="38" s="1"/>
  <c r="N9" i="38"/>
  <c r="P9" i="38"/>
  <c r="W9" i="38"/>
  <c r="Y9" i="38"/>
  <c r="AF9" i="38"/>
  <c r="AI9" i="38"/>
  <c r="AK9" i="38"/>
  <c r="I8" i="38"/>
  <c r="J8" i="38" s="1"/>
  <c r="N8" i="38"/>
  <c r="P8" i="38"/>
  <c r="W8" i="38"/>
  <c r="Y8" i="38"/>
  <c r="AF8" i="38"/>
  <c r="AI8" i="38"/>
  <c r="AK8" i="38"/>
  <c r="I14" i="38"/>
  <c r="J14" i="38" s="1"/>
  <c r="N14" i="38"/>
  <c r="P14" i="38"/>
  <c r="W14" i="38"/>
  <c r="Y14" i="38"/>
  <c r="AF14" i="38"/>
  <c r="AI14" i="38"/>
  <c r="AK14" i="38"/>
  <c r="I23" i="38"/>
  <c r="J23" i="38" s="1"/>
  <c r="N23" i="38"/>
  <c r="P23" i="38"/>
  <c r="W23" i="38"/>
  <c r="Y23" i="38"/>
  <c r="I22" i="38"/>
  <c r="J22" i="38" s="1"/>
  <c r="N22" i="38"/>
  <c r="P22" i="38"/>
  <c r="W22" i="38"/>
  <c r="Y22" i="38"/>
  <c r="I21" i="38"/>
  <c r="J21" i="38" s="1"/>
  <c r="N21" i="38"/>
  <c r="P21" i="38"/>
  <c r="W21" i="38"/>
  <c r="Y21" i="38"/>
  <c r="I11" i="38"/>
  <c r="J11" i="38" s="1"/>
  <c r="N11" i="38"/>
  <c r="P11" i="38"/>
  <c r="W11" i="38"/>
  <c r="Y11" i="38"/>
  <c r="AF11" i="38"/>
  <c r="AI11" i="38"/>
  <c r="AK11" i="38"/>
  <c r="I15" i="40"/>
  <c r="J15" i="40" s="1"/>
  <c r="N15" i="40"/>
  <c r="P15" i="40"/>
  <c r="W15" i="40"/>
  <c r="Y15" i="40"/>
  <c r="AF15" i="40"/>
  <c r="AI15" i="40"/>
  <c r="AK15" i="40"/>
  <c r="R10" i="44"/>
  <c r="U10" i="44" s="1"/>
  <c r="AO8" i="44"/>
  <c r="AM8" i="44"/>
  <c r="AF8" i="44"/>
  <c r="AD8" i="44"/>
  <c r="T8" i="44"/>
  <c r="R8" i="44"/>
  <c r="M8" i="44"/>
  <c r="N8" i="44" s="1"/>
  <c r="I8" i="44"/>
  <c r="J8" i="44" s="1"/>
  <c r="M18" i="44"/>
  <c r="N18" i="44" s="1"/>
  <c r="AO26" i="43"/>
  <c r="AM26" i="43"/>
  <c r="C8" i="42"/>
  <c r="C8" i="39"/>
  <c r="M26" i="43"/>
  <c r="N26" i="43" s="1"/>
  <c r="AF26" i="43"/>
  <c r="AD26" i="43"/>
  <c r="T26" i="43"/>
  <c r="R26" i="43"/>
  <c r="I26" i="43"/>
  <c r="J26" i="43" s="1"/>
  <c r="AK8" i="42"/>
  <c r="AI8" i="42"/>
  <c r="AF8" i="42"/>
  <c r="Y8" i="42"/>
  <c r="W8" i="42"/>
  <c r="P8" i="42"/>
  <c r="N8" i="42"/>
  <c r="J8" i="42"/>
  <c r="I8" i="42"/>
  <c r="AK8" i="41"/>
  <c r="AI8" i="41"/>
  <c r="AF8" i="41"/>
  <c r="Y8" i="41"/>
  <c r="W8" i="41"/>
  <c r="P8" i="41"/>
  <c r="N8" i="41"/>
  <c r="I8" i="41"/>
  <c r="J8" i="41" s="1"/>
  <c r="AK8" i="39"/>
  <c r="AI8" i="39"/>
  <c r="AF8" i="39"/>
  <c r="Y8" i="39"/>
  <c r="W8" i="39"/>
  <c r="P8" i="39"/>
  <c r="N8" i="39"/>
  <c r="I8" i="39"/>
  <c r="J8" i="39" s="1"/>
  <c r="Y20" i="38"/>
  <c r="W20" i="38"/>
  <c r="P20" i="38"/>
  <c r="N20" i="38"/>
  <c r="I20" i="38"/>
  <c r="J20" i="38" s="1"/>
  <c r="AK9" i="37"/>
  <c r="AI9" i="37"/>
  <c r="AF9" i="37"/>
  <c r="Y9" i="37"/>
  <c r="W9" i="37"/>
  <c r="P9" i="37"/>
  <c r="N9" i="37"/>
  <c r="I9" i="37"/>
  <c r="J9" i="37" s="1"/>
  <c r="AK8" i="37"/>
  <c r="AI8" i="37"/>
  <c r="AF8" i="37"/>
  <c r="Y8" i="37"/>
  <c r="W8" i="37"/>
  <c r="P8" i="37"/>
  <c r="N8" i="37"/>
  <c r="I8" i="37"/>
  <c r="J8" i="37" s="1"/>
  <c r="AK13" i="36"/>
  <c r="AI13" i="36"/>
  <c r="AF13" i="36"/>
  <c r="Y13" i="36"/>
  <c r="W13" i="36"/>
  <c r="P13" i="36"/>
  <c r="N13" i="36"/>
  <c r="I13" i="36"/>
  <c r="J13" i="36" s="1"/>
  <c r="Y17" i="36"/>
  <c r="W17" i="36"/>
  <c r="P17" i="36"/>
  <c r="N17" i="36"/>
  <c r="I17" i="36"/>
  <c r="J17" i="36" s="1"/>
  <c r="Y18" i="36"/>
  <c r="W18" i="36"/>
  <c r="P18" i="36"/>
  <c r="N18" i="36"/>
  <c r="I18" i="36"/>
  <c r="J18" i="36" s="1"/>
  <c r="AK10" i="36"/>
  <c r="AI10" i="36"/>
  <c r="AF10" i="36"/>
  <c r="Y10" i="36"/>
  <c r="W10" i="36"/>
  <c r="P10" i="36"/>
  <c r="N10" i="36"/>
  <c r="I10" i="36"/>
  <c r="J10" i="36" s="1"/>
  <c r="Y16" i="36"/>
  <c r="W16" i="36"/>
  <c r="P16" i="36"/>
  <c r="N16" i="36"/>
  <c r="I16" i="36"/>
  <c r="J16" i="36" s="1"/>
  <c r="AK11" i="36"/>
  <c r="AI11" i="36"/>
  <c r="AF11" i="36"/>
  <c r="Y11" i="36"/>
  <c r="W11" i="36"/>
  <c r="P11" i="36"/>
  <c r="N11" i="36"/>
  <c r="I11" i="36"/>
  <c r="J11" i="36" s="1"/>
  <c r="Y20" i="36"/>
  <c r="W20" i="36"/>
  <c r="P20" i="36"/>
  <c r="N20" i="36"/>
  <c r="I20" i="36"/>
  <c r="J20" i="36" s="1"/>
  <c r="Y14" i="36"/>
  <c r="W14" i="36"/>
  <c r="P14" i="36"/>
  <c r="N14" i="36"/>
  <c r="I14" i="36"/>
  <c r="J14" i="36" s="1"/>
  <c r="Y19" i="36"/>
  <c r="W19" i="36"/>
  <c r="P19" i="36"/>
  <c r="N19" i="36"/>
  <c r="I19" i="36"/>
  <c r="J19" i="36" s="1"/>
  <c r="AK12" i="36"/>
  <c r="AI12" i="36"/>
  <c r="AF12" i="36"/>
  <c r="Y12" i="36"/>
  <c r="W12" i="36"/>
  <c r="P12" i="36"/>
  <c r="N12" i="36"/>
  <c r="I12" i="36"/>
  <c r="J12" i="36" s="1"/>
  <c r="Y22" i="36"/>
  <c r="W22" i="36"/>
  <c r="P22" i="36"/>
  <c r="N22" i="36"/>
  <c r="I22" i="36"/>
  <c r="J22" i="36" s="1"/>
  <c r="Y21" i="36"/>
  <c r="W21" i="36"/>
  <c r="P21" i="36"/>
  <c r="N21" i="36"/>
  <c r="I21" i="36"/>
  <c r="J21" i="36" s="1"/>
  <c r="Y23" i="36"/>
  <c r="W23" i="36"/>
  <c r="P23" i="36"/>
  <c r="N23" i="36"/>
  <c r="I23" i="36"/>
  <c r="J23" i="36" s="1"/>
  <c r="AK8" i="36"/>
  <c r="AI8" i="36"/>
  <c r="AF8" i="36"/>
  <c r="Y8" i="36"/>
  <c r="W8" i="36"/>
  <c r="P8" i="36"/>
  <c r="N8" i="36"/>
  <c r="I8" i="36"/>
  <c r="J8" i="36" s="1"/>
  <c r="AK9" i="36"/>
  <c r="AI9" i="36"/>
  <c r="AF9" i="36"/>
  <c r="Y9" i="36"/>
  <c r="W9" i="36"/>
  <c r="P9" i="36"/>
  <c r="N9" i="36"/>
  <c r="I9" i="36"/>
  <c r="J9" i="36" s="1"/>
  <c r="AK15" i="36"/>
  <c r="AI15" i="36"/>
  <c r="AF15" i="36"/>
  <c r="Y15" i="36"/>
  <c r="W15" i="36"/>
  <c r="P15" i="36"/>
  <c r="N15" i="36"/>
  <c r="I15" i="36"/>
  <c r="J15" i="36" s="1"/>
  <c r="Y12" i="35"/>
  <c r="W12" i="35"/>
  <c r="P12" i="35"/>
  <c r="N12" i="35"/>
  <c r="I12" i="35"/>
  <c r="J12" i="35" s="1"/>
  <c r="AK11" i="35"/>
  <c r="AI11" i="35"/>
  <c r="AF11" i="35"/>
  <c r="Y11" i="35"/>
  <c r="W11" i="35"/>
  <c r="P11" i="35"/>
  <c r="N11" i="35"/>
  <c r="I11" i="35"/>
  <c r="J11" i="35" s="1"/>
  <c r="AK9" i="35"/>
  <c r="AI9" i="35"/>
  <c r="AF9" i="35"/>
  <c r="Y9" i="35"/>
  <c r="W9" i="35"/>
  <c r="P9" i="35"/>
  <c r="N9" i="35"/>
  <c r="I9" i="35"/>
  <c r="J9" i="35" s="1"/>
  <c r="AK10" i="35"/>
  <c r="AI10" i="35"/>
  <c r="AF10" i="35"/>
  <c r="Y10" i="35"/>
  <c r="W10" i="35"/>
  <c r="P10" i="35"/>
  <c r="N10" i="35"/>
  <c r="I10" i="35"/>
  <c r="J10" i="35" s="1"/>
  <c r="AK8" i="35"/>
  <c r="AI8" i="35"/>
  <c r="AF8" i="35"/>
  <c r="Y8" i="35"/>
  <c r="W8" i="35"/>
  <c r="P8" i="35"/>
  <c r="N8" i="35"/>
  <c r="I8" i="35"/>
  <c r="J8" i="35" s="1"/>
  <c r="BF8" i="33"/>
  <c r="BD8" i="33"/>
  <c r="AT8" i="33"/>
  <c r="AR8" i="33"/>
  <c r="AK8" i="33"/>
  <c r="AI8" i="33"/>
  <c r="P8" i="33"/>
  <c r="N8" i="33"/>
  <c r="BF11" i="33"/>
  <c r="BD11" i="33"/>
  <c r="AT11" i="33"/>
  <c r="AR11" i="33"/>
  <c r="AK11" i="33"/>
  <c r="AI11" i="33"/>
  <c r="P11" i="33"/>
  <c r="N11" i="33"/>
  <c r="BF10" i="33"/>
  <c r="BD10" i="33"/>
  <c r="AT10" i="33"/>
  <c r="AR10" i="33"/>
  <c r="AK10" i="33"/>
  <c r="AI10" i="33"/>
  <c r="P10" i="33"/>
  <c r="N10" i="33"/>
  <c r="BF12" i="33"/>
  <c r="BD12" i="33"/>
  <c r="AT12" i="33"/>
  <c r="AR12" i="33"/>
  <c r="AK12" i="33"/>
  <c r="AI12" i="33"/>
  <c r="P12" i="33"/>
  <c r="N12" i="33"/>
  <c r="BF13" i="33"/>
  <c r="BD13" i="33"/>
  <c r="AT13" i="33"/>
  <c r="AR13" i="33"/>
  <c r="AK13" i="33"/>
  <c r="AI13" i="33"/>
  <c r="P13" i="33"/>
  <c r="N13" i="33"/>
  <c r="BF9" i="33"/>
  <c r="BD9" i="33"/>
  <c r="AT9" i="33"/>
  <c r="AR9" i="33"/>
  <c r="AK9" i="33"/>
  <c r="AI9" i="33"/>
  <c r="P9" i="33"/>
  <c r="N9" i="33"/>
  <c r="AI10" i="32"/>
  <c r="AI8" i="32"/>
  <c r="AK9" i="32"/>
  <c r="AI9" i="32"/>
  <c r="AI11" i="32"/>
  <c r="I9" i="32"/>
  <c r="J9" i="32" s="1"/>
  <c r="N9" i="32"/>
  <c r="W9" i="32"/>
  <c r="Y9" i="32"/>
  <c r="I8" i="32"/>
  <c r="J8" i="32" s="1"/>
  <c r="N8" i="32"/>
  <c r="W8" i="32"/>
  <c r="Y8" i="32"/>
  <c r="I10" i="32"/>
  <c r="J10" i="32" s="1"/>
  <c r="N10" i="32"/>
  <c r="W10" i="32"/>
  <c r="Y10" i="32"/>
  <c r="AP10" i="43" l="1"/>
  <c r="U10" i="43"/>
  <c r="AP13" i="43"/>
  <c r="AP20" i="43"/>
  <c r="U20" i="43"/>
  <c r="AP12" i="43"/>
  <c r="AP8" i="43"/>
  <c r="AP23" i="43"/>
  <c r="U8" i="43"/>
  <c r="U28" i="43"/>
  <c r="U12" i="43"/>
  <c r="U16" i="43"/>
  <c r="AG24" i="43"/>
  <c r="U18" i="43"/>
  <c r="AP16" i="43"/>
  <c r="AP19" i="43"/>
  <c r="AP9" i="43"/>
  <c r="AG16" i="43"/>
  <c r="AP14" i="43"/>
  <c r="U14" i="43"/>
  <c r="AP21" i="43"/>
  <c r="U21" i="43"/>
  <c r="AP15" i="43"/>
  <c r="AP11" i="43"/>
  <c r="AP17" i="43"/>
  <c r="U17" i="43"/>
  <c r="AP22" i="43"/>
  <c r="U22" i="43"/>
  <c r="AP27" i="43"/>
  <c r="U27" i="43"/>
  <c r="U15" i="43"/>
  <c r="U19" i="43"/>
  <c r="U11" i="43"/>
  <c r="AP24" i="43"/>
  <c r="U24" i="43"/>
  <c r="U25" i="43"/>
  <c r="U13" i="43"/>
  <c r="U23" i="43"/>
  <c r="AG18" i="43"/>
  <c r="AG25" i="43"/>
  <c r="AL11" i="40"/>
  <c r="AL11" i="38"/>
  <c r="AL13" i="38"/>
  <c r="AL10" i="40"/>
  <c r="AL14" i="40"/>
  <c r="AL13" i="40"/>
  <c r="Z19" i="40"/>
  <c r="Z22" i="40"/>
  <c r="Z9" i="40"/>
  <c r="Z16" i="40"/>
  <c r="Z17" i="40"/>
  <c r="Z12" i="40"/>
  <c r="Z20" i="40"/>
  <c r="AL12" i="40"/>
  <c r="AL9" i="40"/>
  <c r="Z11" i="40"/>
  <c r="AL8" i="40"/>
  <c r="Z17" i="34"/>
  <c r="Z18" i="34"/>
  <c r="AL11" i="34"/>
  <c r="Z19" i="34"/>
  <c r="Z12" i="34"/>
  <c r="Z28" i="34"/>
  <c r="Z27" i="34"/>
  <c r="Q27" i="34"/>
  <c r="Q14" i="34"/>
  <c r="Z26" i="34"/>
  <c r="Q26" i="34"/>
  <c r="AL9" i="34"/>
  <c r="AL8" i="34"/>
  <c r="AL12" i="34"/>
  <c r="Z20" i="34"/>
  <c r="Z13" i="34"/>
  <c r="Z8" i="34"/>
  <c r="Z21" i="34"/>
  <c r="Q21" i="34"/>
  <c r="Z25" i="34"/>
  <c r="Z10" i="34"/>
  <c r="Q10" i="34"/>
  <c r="AL15" i="34"/>
  <c r="AL13" i="34"/>
  <c r="Z11" i="34"/>
  <c r="Z22" i="34"/>
  <c r="Z24" i="34"/>
  <c r="Q24" i="34"/>
  <c r="AL14" i="34"/>
  <c r="Z9" i="34"/>
  <c r="Q9" i="34"/>
  <c r="Z16" i="34"/>
  <c r="Q16" i="34"/>
  <c r="Z23" i="34"/>
  <c r="Q23" i="34"/>
  <c r="AL10" i="34"/>
  <c r="Z15" i="34"/>
  <c r="Q15" i="34"/>
  <c r="Q21" i="36"/>
  <c r="Z21" i="36"/>
  <c r="Z11" i="38"/>
  <c r="Z21" i="38"/>
  <c r="Z22" i="38"/>
  <c r="Z23" i="38"/>
  <c r="Z14" i="38"/>
  <c r="Z8" i="38"/>
  <c r="Z9" i="38"/>
  <c r="Z12" i="38"/>
  <c r="Z10" i="38"/>
  <c r="Z15" i="38"/>
  <c r="Q15" i="38"/>
  <c r="Z13" i="38"/>
  <c r="Z18" i="38"/>
  <c r="Z17" i="38"/>
  <c r="Z19" i="38"/>
  <c r="Z16" i="38"/>
  <c r="Q16" i="38"/>
  <c r="AL14" i="38"/>
  <c r="AL8" i="38"/>
  <c r="AL9" i="38"/>
  <c r="AL12" i="38"/>
  <c r="AL10" i="38"/>
  <c r="AL15" i="38"/>
  <c r="Q17" i="38"/>
  <c r="AL15" i="40"/>
  <c r="Z18" i="40"/>
  <c r="Z21" i="40"/>
  <c r="Z10" i="40"/>
  <c r="Z14" i="40"/>
  <c r="Z13" i="40"/>
  <c r="Z8" i="40"/>
  <c r="Q11" i="40"/>
  <c r="Q19" i="40"/>
  <c r="Q21" i="40"/>
  <c r="Q9" i="40"/>
  <c r="Q13" i="40"/>
  <c r="Q8" i="40"/>
  <c r="Q14" i="40"/>
  <c r="Q20" i="40"/>
  <c r="Q16" i="40"/>
  <c r="Q10" i="40"/>
  <c r="Q17" i="40"/>
  <c r="Q18" i="40"/>
  <c r="Q12" i="40"/>
  <c r="Q22" i="40"/>
  <c r="Z15" i="40"/>
  <c r="Q15" i="40"/>
  <c r="AL22" i="27"/>
  <c r="Q28" i="27"/>
  <c r="BG22" i="27"/>
  <c r="AU22" i="27"/>
  <c r="AL10" i="27"/>
  <c r="BG13" i="27"/>
  <c r="Q13" i="27"/>
  <c r="AL18" i="27"/>
  <c r="Q18" i="27"/>
  <c r="I15" i="27"/>
  <c r="J15" i="27" s="1"/>
  <c r="I18" i="27"/>
  <c r="J18" i="27" s="1"/>
  <c r="I24" i="27"/>
  <c r="J24" i="27" s="1"/>
  <c r="J13" i="27"/>
  <c r="I10" i="27"/>
  <c r="J10" i="27" s="1"/>
  <c r="I26" i="27"/>
  <c r="J26" i="27" s="1"/>
  <c r="J23" i="27"/>
  <c r="J21" i="27"/>
  <c r="I14" i="27"/>
  <c r="J14" i="27" s="1"/>
  <c r="J27" i="27"/>
  <c r="I17" i="27"/>
  <c r="J17" i="27" s="1"/>
  <c r="J16" i="27"/>
  <c r="J19" i="27"/>
  <c r="J12" i="27"/>
  <c r="J25" i="27"/>
  <c r="I8" i="27"/>
  <c r="J8" i="27" s="1"/>
  <c r="J9" i="27"/>
  <c r="J20" i="27"/>
  <c r="I11" i="27"/>
  <c r="J11" i="27" s="1"/>
  <c r="I28" i="27"/>
  <c r="J28" i="27" s="1"/>
  <c r="J22" i="27"/>
  <c r="I29" i="27"/>
  <c r="J29" i="27" s="1"/>
  <c r="AL17" i="27"/>
  <c r="Q17" i="27"/>
  <c r="AL16" i="27"/>
  <c r="Q16" i="27"/>
  <c r="AL19" i="27"/>
  <c r="Q19" i="27"/>
  <c r="AL12" i="27"/>
  <c r="Q12" i="27"/>
  <c r="AL25" i="27"/>
  <c r="BG8" i="27"/>
  <c r="BG10" i="27"/>
  <c r="AU10" i="27"/>
  <c r="AU9" i="27"/>
  <c r="AL9" i="27"/>
  <c r="AU20" i="27"/>
  <c r="Q20" i="27"/>
  <c r="AU24" i="27"/>
  <c r="AL24" i="27"/>
  <c r="BG17" i="27"/>
  <c r="AU17" i="27"/>
  <c r="AU23" i="27"/>
  <c r="AL23" i="27"/>
  <c r="BG16" i="27"/>
  <c r="AU16" i="27"/>
  <c r="AL26" i="27"/>
  <c r="BG19" i="27"/>
  <c r="AU19" i="27"/>
  <c r="AU21" i="27"/>
  <c r="AL21" i="27"/>
  <c r="BG12" i="27"/>
  <c r="AU12" i="27"/>
  <c r="AU15" i="27"/>
  <c r="AL15" i="27"/>
  <c r="Q25" i="27"/>
  <c r="AU14" i="27"/>
  <c r="Q8" i="27"/>
  <c r="Q10" i="27"/>
  <c r="AL13" i="27"/>
  <c r="BG20" i="27"/>
  <c r="BG18" i="27"/>
  <c r="AU18" i="27"/>
  <c r="AU11" i="27"/>
  <c r="AL11" i="27"/>
  <c r="Q22" i="27"/>
  <c r="Q27" i="27"/>
  <c r="Q9" i="33"/>
  <c r="AL9" i="33"/>
  <c r="AU9" i="33"/>
  <c r="BG9" i="33"/>
  <c r="Q13" i="33"/>
  <c r="AL13" i="33"/>
  <c r="AU13" i="33"/>
  <c r="BG13" i="33"/>
  <c r="J8" i="33"/>
  <c r="I9" i="33"/>
  <c r="J9" i="33" s="1"/>
  <c r="J13" i="33"/>
  <c r="I12" i="33"/>
  <c r="J12" i="33" s="1"/>
  <c r="J10" i="33"/>
  <c r="J11" i="33"/>
  <c r="AG8" i="44"/>
  <c r="AH8" i="44" s="1"/>
  <c r="AI8" i="44" s="1"/>
  <c r="U9" i="43"/>
  <c r="AP18" i="43"/>
  <c r="AP25" i="43"/>
  <c r="AG8" i="43"/>
  <c r="AG10" i="43"/>
  <c r="AG14" i="43"/>
  <c r="AG17" i="43"/>
  <c r="AG21" i="43"/>
  <c r="AG13" i="43"/>
  <c r="AG23" i="43"/>
  <c r="AG20" i="43"/>
  <c r="AG22" i="43"/>
  <c r="AG12" i="43"/>
  <c r="AG27" i="43"/>
  <c r="AG15" i="43"/>
  <c r="AG19" i="43"/>
  <c r="AG11" i="43"/>
  <c r="AG9" i="43"/>
  <c r="Q11" i="38"/>
  <c r="Q21" i="38"/>
  <c r="Q22" i="38"/>
  <c r="Q23" i="38"/>
  <c r="Q14" i="38"/>
  <c r="Q8" i="38"/>
  <c r="Q9" i="38"/>
  <c r="Q12" i="38"/>
  <c r="Q10" i="38"/>
  <c r="Q13" i="38"/>
  <c r="Q18" i="38"/>
  <c r="Q19" i="38"/>
  <c r="Z14" i="34"/>
  <c r="Q19" i="34"/>
  <c r="Q8" i="34"/>
  <c r="Q12" i="34"/>
  <c r="Q28" i="34"/>
  <c r="Q17" i="34"/>
  <c r="Q25" i="34"/>
  <c r="Q20" i="34"/>
  <c r="Q13" i="34"/>
  <c r="Q18" i="34"/>
  <c r="Q11" i="34"/>
  <c r="Q22" i="34"/>
  <c r="Z10" i="32"/>
  <c r="Z8" i="32"/>
  <c r="Q24" i="27"/>
  <c r="Q23" i="27"/>
  <c r="Q26" i="27"/>
  <c r="BG21" i="27"/>
  <c r="Q21" i="27"/>
  <c r="BG15" i="27"/>
  <c r="Q15" i="27"/>
  <c r="AU25" i="27"/>
  <c r="BG14" i="27"/>
  <c r="AL14" i="27"/>
  <c r="Q14" i="27"/>
  <c r="AU8" i="27"/>
  <c r="AL8" i="27"/>
  <c r="BG9" i="27"/>
  <c r="Q9" i="27"/>
  <c r="AU13" i="27"/>
  <c r="AL20" i="27"/>
  <c r="BG11" i="27"/>
  <c r="Q11" i="27"/>
  <c r="Q29" i="27"/>
  <c r="AL9" i="36"/>
  <c r="AL15" i="36"/>
  <c r="Q8" i="36"/>
  <c r="Z8" i="36"/>
  <c r="Q12" i="36"/>
  <c r="Z12" i="36"/>
  <c r="Q19" i="36"/>
  <c r="Q14" i="36"/>
  <c r="Q20" i="36"/>
  <c r="Q11" i="36"/>
  <c r="Q16" i="36"/>
  <c r="Q10" i="36"/>
  <c r="Q18" i="36"/>
  <c r="Q17" i="36"/>
  <c r="Q13" i="36"/>
  <c r="Q8" i="35"/>
  <c r="Z8" i="35"/>
  <c r="AL10" i="35"/>
  <c r="Q9" i="35"/>
  <c r="Z9" i="35"/>
  <c r="AL11" i="35"/>
  <c r="Q12" i="35"/>
  <c r="Z12" i="35"/>
  <c r="AP26" i="43"/>
  <c r="Q10" i="33"/>
  <c r="AL10" i="33"/>
  <c r="BG10" i="33"/>
  <c r="Q11" i="33"/>
  <c r="AL11" i="33"/>
  <c r="BG11" i="33"/>
  <c r="Q8" i="42"/>
  <c r="Z8" i="42"/>
  <c r="AL8" i="41"/>
  <c r="AL8" i="39"/>
  <c r="Z20" i="38"/>
  <c r="AL8" i="37"/>
  <c r="AL8" i="42"/>
  <c r="Q15" i="36"/>
  <c r="Z15" i="36"/>
  <c r="Z9" i="36"/>
  <c r="AL8" i="36"/>
  <c r="Q23" i="36"/>
  <c r="Z23" i="36"/>
  <c r="Q22" i="36"/>
  <c r="Z22" i="36"/>
  <c r="AL12" i="36"/>
  <c r="Q8" i="41"/>
  <c r="Z8" i="41"/>
  <c r="Q8" i="39"/>
  <c r="AL9" i="37"/>
  <c r="AL8" i="35"/>
  <c r="Z10" i="35"/>
  <c r="AL9" i="35"/>
  <c r="Z11" i="35"/>
  <c r="AU10" i="33"/>
  <c r="AU11" i="33"/>
  <c r="U8" i="44"/>
  <c r="V22" i="44" s="1"/>
  <c r="W22" i="44" s="1"/>
  <c r="AP8" i="44"/>
  <c r="AG26" i="43"/>
  <c r="U26" i="43"/>
  <c r="B8" i="42"/>
  <c r="Z8" i="39"/>
  <c r="B8" i="39"/>
  <c r="Q20" i="38"/>
  <c r="Z8" i="37"/>
  <c r="Z9" i="37"/>
  <c r="Q8" i="37"/>
  <c r="Q9" i="37"/>
  <c r="Q9" i="36"/>
  <c r="Z19" i="36"/>
  <c r="Z14" i="36"/>
  <c r="Z20" i="36"/>
  <c r="Z11" i="36"/>
  <c r="AL11" i="36"/>
  <c r="Z16" i="36"/>
  <c r="Z10" i="36"/>
  <c r="AL10" i="36"/>
  <c r="Z18" i="36"/>
  <c r="Z17" i="36"/>
  <c r="Z13" i="36"/>
  <c r="AL13" i="36"/>
  <c r="Q10" i="35"/>
  <c r="Q11" i="35"/>
  <c r="Z9" i="32"/>
  <c r="Q12" i="33"/>
  <c r="AL12" i="33"/>
  <c r="AU12" i="33"/>
  <c r="BG12" i="33"/>
  <c r="Q8" i="33"/>
  <c r="AL8" i="33"/>
  <c r="AU8" i="33"/>
  <c r="BG8" i="33"/>
  <c r="AK8" i="32"/>
  <c r="AL8" i="32" s="1"/>
  <c r="AK11" i="32"/>
  <c r="AL11" i="32" s="1"/>
  <c r="AK10" i="32"/>
  <c r="AL10" i="32" s="1"/>
  <c r="AL9" i="32"/>
  <c r="I11" i="32"/>
  <c r="J11" i="32" s="1"/>
  <c r="W11" i="32"/>
  <c r="N11" i="32"/>
  <c r="AH25" i="43" l="1"/>
  <c r="AI25" i="43" s="1"/>
  <c r="AQ10" i="44"/>
  <c r="AR10" i="44" s="1"/>
  <c r="AQ28" i="44"/>
  <c r="AR28" i="44" s="1"/>
  <c r="AQ26" i="44"/>
  <c r="AR26" i="44" s="1"/>
  <c r="AQ15" i="44"/>
  <c r="AR15" i="44" s="1"/>
  <c r="AQ19" i="44"/>
  <c r="AR19" i="44" s="1"/>
  <c r="AQ11" i="44"/>
  <c r="AR11" i="44" s="1"/>
  <c r="AQ25" i="44"/>
  <c r="AR25" i="44" s="1"/>
  <c r="AQ14" i="44"/>
  <c r="AR14" i="44" s="1"/>
  <c r="AQ21" i="44"/>
  <c r="AR21" i="44" s="1"/>
  <c r="AQ16" i="44"/>
  <c r="AR16" i="44" s="1"/>
  <c r="AQ13" i="44"/>
  <c r="AR13" i="44" s="1"/>
  <c r="AQ20" i="44"/>
  <c r="AR20" i="44" s="1"/>
  <c r="AQ17" i="44"/>
  <c r="AR17" i="44" s="1"/>
  <c r="AQ18" i="44"/>
  <c r="AR18" i="44" s="1"/>
  <c r="AQ27" i="44"/>
  <c r="AR27" i="44" s="1"/>
  <c r="AQ12" i="44"/>
  <c r="AR12" i="44" s="1"/>
  <c r="AQ23" i="44"/>
  <c r="AR23" i="44" s="1"/>
  <c r="AQ24" i="44"/>
  <c r="AR24" i="44" s="1"/>
  <c r="AQ29" i="44"/>
  <c r="AR29" i="44" s="1"/>
  <c r="AQ22" i="44"/>
  <c r="AR22" i="44" s="1"/>
  <c r="AQ9" i="44"/>
  <c r="AR9" i="44" s="1"/>
  <c r="AI28" i="44"/>
  <c r="AH26" i="44"/>
  <c r="AI26" i="44" s="1"/>
  <c r="AH15" i="44"/>
  <c r="AI15" i="44" s="1"/>
  <c r="AH13" i="44"/>
  <c r="AI13" i="44" s="1"/>
  <c r="AH20" i="44"/>
  <c r="AI20" i="44" s="1"/>
  <c r="AH18" i="44"/>
  <c r="AI18" i="44" s="1"/>
  <c r="AH24" i="44"/>
  <c r="AI24" i="44" s="1"/>
  <c r="AH9" i="44"/>
  <c r="AI9" i="44" s="1"/>
  <c r="AH23" i="44"/>
  <c r="AI23" i="44" s="1"/>
  <c r="AI19" i="44"/>
  <c r="AH25" i="44"/>
  <c r="AI25" i="44" s="1"/>
  <c r="AH10" i="44"/>
  <c r="AI10" i="44" s="1"/>
  <c r="AH14" i="44"/>
  <c r="AI14" i="44" s="1"/>
  <c r="AH21" i="44"/>
  <c r="AI21" i="44" s="1"/>
  <c r="AH27" i="44"/>
  <c r="AI27" i="44" s="1"/>
  <c r="AH11" i="44"/>
  <c r="AI11" i="44" s="1"/>
  <c r="AI22" i="44"/>
  <c r="AH12" i="44"/>
  <c r="AI12" i="44" s="1"/>
  <c r="AH29" i="44"/>
  <c r="AI29" i="44" s="1"/>
  <c r="AH16" i="44"/>
  <c r="AI16" i="44" s="1"/>
  <c r="AH17" i="44"/>
  <c r="AI17" i="44" s="1"/>
  <c r="V26" i="44"/>
  <c r="W26" i="44" s="1"/>
  <c r="V23" i="44"/>
  <c r="W23" i="44" s="1"/>
  <c r="V19" i="44"/>
  <c r="W19" i="44" s="1"/>
  <c r="C19" i="44" s="1"/>
  <c r="V25" i="44"/>
  <c r="W25" i="44" s="1"/>
  <c r="V24" i="44"/>
  <c r="W24" i="44" s="1"/>
  <c r="V11" i="44"/>
  <c r="W11" i="44" s="1"/>
  <c r="V15" i="44"/>
  <c r="W15" i="44" s="1"/>
  <c r="V28" i="44"/>
  <c r="W28" i="44" s="1"/>
  <c r="C28" i="44" s="1"/>
  <c r="V13" i="44"/>
  <c r="W13" i="44" s="1"/>
  <c r="C13" i="44" s="1"/>
  <c r="V9" i="44"/>
  <c r="W9" i="44" s="1"/>
  <c r="V20" i="44"/>
  <c r="W20" i="44" s="1"/>
  <c r="V18" i="44"/>
  <c r="W18" i="44" s="1"/>
  <c r="V16" i="44"/>
  <c r="W16" i="44" s="1"/>
  <c r="V21" i="44"/>
  <c r="W21" i="44" s="1"/>
  <c r="V14" i="44"/>
  <c r="W14" i="44" s="1"/>
  <c r="V10" i="44"/>
  <c r="W10" i="44" s="1"/>
  <c r="V17" i="44"/>
  <c r="W17" i="44" s="1"/>
  <c r="V27" i="44"/>
  <c r="W27" i="44" s="1"/>
  <c r="V29" i="44"/>
  <c r="W29" i="44" s="1"/>
  <c r="V12" i="44"/>
  <c r="W12" i="44" s="1"/>
  <c r="AQ24" i="43"/>
  <c r="AR24" i="43" s="1"/>
  <c r="AM14" i="36"/>
  <c r="AN14" i="36" s="1"/>
  <c r="AM11" i="38"/>
  <c r="AN11" i="38" s="1"/>
  <c r="AM9" i="40"/>
  <c r="AN9" i="40" s="1"/>
  <c r="AM11" i="40"/>
  <c r="AN11" i="40" s="1"/>
  <c r="AM10" i="40"/>
  <c r="AN10" i="40" s="1"/>
  <c r="AM10" i="34"/>
  <c r="AN10" i="34" s="1"/>
  <c r="AM8" i="40"/>
  <c r="AN8" i="40" s="1"/>
  <c r="AM13" i="40"/>
  <c r="AN13" i="40" s="1"/>
  <c r="AM14" i="40"/>
  <c r="AN14" i="40" s="1"/>
  <c r="AM12" i="40"/>
  <c r="AN12" i="40" s="1"/>
  <c r="AA17" i="40"/>
  <c r="AB17" i="40" s="1"/>
  <c r="AA26" i="34"/>
  <c r="AB26" i="34" s="1"/>
  <c r="AM15" i="34"/>
  <c r="AN15" i="34" s="1"/>
  <c r="AM9" i="34"/>
  <c r="AN9" i="34" s="1"/>
  <c r="AA11" i="38"/>
  <c r="AB11" i="38" s="1"/>
  <c r="AM13" i="38"/>
  <c r="AN13" i="38" s="1"/>
  <c r="AA9" i="38"/>
  <c r="AB9" i="38" s="1"/>
  <c r="AA22" i="38"/>
  <c r="AB22" i="38" s="1"/>
  <c r="AM9" i="38"/>
  <c r="AN9" i="38" s="1"/>
  <c r="AA16" i="38"/>
  <c r="AB16" i="38" s="1"/>
  <c r="AA18" i="38"/>
  <c r="AB18" i="38" s="1"/>
  <c r="AA10" i="38"/>
  <c r="AB10" i="38" s="1"/>
  <c r="AA14" i="38"/>
  <c r="AB14" i="38" s="1"/>
  <c r="AM10" i="38"/>
  <c r="AN10" i="38" s="1"/>
  <c r="AM14" i="38"/>
  <c r="AN14" i="38" s="1"/>
  <c r="AA15" i="38"/>
  <c r="AB15" i="38" s="1"/>
  <c r="R18" i="38"/>
  <c r="S18" i="38" s="1"/>
  <c r="R16" i="38"/>
  <c r="S16" i="38" s="1"/>
  <c r="R16" i="40"/>
  <c r="S16" i="40" s="1"/>
  <c r="R17" i="40"/>
  <c r="S17" i="40" s="1"/>
  <c r="C17" i="40" s="1"/>
  <c r="R11" i="40"/>
  <c r="S11" i="40" s="1"/>
  <c r="R19" i="40"/>
  <c r="S19" i="40" s="1"/>
  <c r="R18" i="40"/>
  <c r="S18" i="40" s="1"/>
  <c r="R9" i="40"/>
  <c r="S9" i="40" s="1"/>
  <c r="R20" i="40"/>
  <c r="S20" i="40" s="1"/>
  <c r="R21" i="40"/>
  <c r="S21" i="40" s="1"/>
  <c r="AA8" i="40"/>
  <c r="AB8" i="40" s="1"/>
  <c r="AA13" i="40"/>
  <c r="AB13" i="40" s="1"/>
  <c r="AA11" i="40"/>
  <c r="AB11" i="40" s="1"/>
  <c r="AA9" i="40"/>
  <c r="AB9" i="40" s="1"/>
  <c r="AA10" i="40"/>
  <c r="AB10" i="40" s="1"/>
  <c r="AA18" i="40"/>
  <c r="AB18" i="40" s="1"/>
  <c r="AA16" i="40"/>
  <c r="AB16" i="40" s="1"/>
  <c r="AA20" i="40"/>
  <c r="AB20" i="40" s="1"/>
  <c r="R22" i="40"/>
  <c r="S22" i="40" s="1"/>
  <c r="AA19" i="40"/>
  <c r="AB19" i="40" s="1"/>
  <c r="R14" i="40"/>
  <c r="S14" i="40" s="1"/>
  <c r="R8" i="40"/>
  <c r="S8" i="40" s="1"/>
  <c r="AA22" i="40"/>
  <c r="AB22" i="40" s="1"/>
  <c r="R13" i="40"/>
  <c r="S13" i="40" s="1"/>
  <c r="C13" i="40" s="1"/>
  <c r="AA14" i="40"/>
  <c r="AB14" i="40" s="1"/>
  <c r="AA21" i="40"/>
  <c r="AB21" i="40" s="1"/>
  <c r="AA12" i="40"/>
  <c r="AB12" i="40" s="1"/>
  <c r="R12" i="40"/>
  <c r="S12" i="40" s="1"/>
  <c r="R10" i="40"/>
  <c r="S10" i="40" s="1"/>
  <c r="C10" i="40" s="1"/>
  <c r="AQ19" i="43"/>
  <c r="AR19" i="43" s="1"/>
  <c r="AQ13" i="43"/>
  <c r="AR13" i="43" s="1"/>
  <c r="AQ23" i="43"/>
  <c r="AR23" i="43" s="1"/>
  <c r="AH9" i="43"/>
  <c r="AI9" i="43" s="1"/>
  <c r="AH20" i="43"/>
  <c r="AI20" i="43" s="1"/>
  <c r="AH8" i="43"/>
  <c r="AI8" i="43" s="1"/>
  <c r="AQ18" i="43"/>
  <c r="AR18" i="43" s="1"/>
  <c r="AH24" i="43"/>
  <c r="AI24" i="43" s="1"/>
  <c r="AQ22" i="43"/>
  <c r="AR22" i="43" s="1"/>
  <c r="AQ10" i="43"/>
  <c r="AR10" i="43" s="1"/>
  <c r="AQ12" i="43"/>
  <c r="AR12" i="43" s="1"/>
  <c r="AQ14" i="43"/>
  <c r="AR14" i="43" s="1"/>
  <c r="AH15" i="43"/>
  <c r="AI15" i="43" s="1"/>
  <c r="AH21" i="43"/>
  <c r="AI21" i="43" s="1"/>
  <c r="AQ16" i="43"/>
  <c r="AR16" i="43" s="1"/>
  <c r="AA15" i="40"/>
  <c r="AB15" i="40" s="1"/>
  <c r="AM15" i="40"/>
  <c r="AN15" i="40" s="1"/>
  <c r="R15" i="40"/>
  <c r="S15" i="40" s="1"/>
  <c r="R10" i="38"/>
  <c r="S10" i="38" s="1"/>
  <c r="R9" i="38"/>
  <c r="S9" i="38" s="1"/>
  <c r="R14" i="38"/>
  <c r="S14" i="38" s="1"/>
  <c r="R22" i="38"/>
  <c r="S22" i="38" s="1"/>
  <c r="C22" i="38" s="1"/>
  <c r="R11" i="38"/>
  <c r="S11" i="38" s="1"/>
  <c r="AA19" i="38"/>
  <c r="AB19" i="38" s="1"/>
  <c r="R17" i="38"/>
  <c r="S17" i="38" s="1"/>
  <c r="AA13" i="38"/>
  <c r="AB13" i="38" s="1"/>
  <c r="R15" i="38"/>
  <c r="S15" i="38" s="1"/>
  <c r="AA12" i="38"/>
  <c r="AB12" i="38" s="1"/>
  <c r="AA8" i="38"/>
  <c r="AB8" i="38" s="1"/>
  <c r="AA23" i="38"/>
  <c r="AB23" i="38" s="1"/>
  <c r="AA21" i="38"/>
  <c r="AB21" i="38" s="1"/>
  <c r="R19" i="38"/>
  <c r="S19" i="38" s="1"/>
  <c r="AM15" i="38"/>
  <c r="AN15" i="38" s="1"/>
  <c r="AM12" i="38"/>
  <c r="AN12" i="38" s="1"/>
  <c r="AM8" i="38"/>
  <c r="AN8" i="38" s="1"/>
  <c r="R13" i="38"/>
  <c r="S13" i="38" s="1"/>
  <c r="R12" i="38"/>
  <c r="S12" i="38" s="1"/>
  <c r="R8" i="38"/>
  <c r="S8" i="38" s="1"/>
  <c r="R23" i="38"/>
  <c r="S23" i="38" s="1"/>
  <c r="R21" i="38"/>
  <c r="S21" i="38" s="1"/>
  <c r="AA17" i="38"/>
  <c r="AB17" i="38" s="1"/>
  <c r="AM10" i="35"/>
  <c r="AN10" i="35" s="1"/>
  <c r="AM11" i="34"/>
  <c r="AN11" i="34" s="1"/>
  <c r="AM13" i="34"/>
  <c r="AN13" i="34" s="1"/>
  <c r="AM12" i="34"/>
  <c r="AN12" i="34" s="1"/>
  <c r="AM8" i="34"/>
  <c r="AN8" i="34" s="1"/>
  <c r="AA22" i="34"/>
  <c r="AB22" i="34" s="1"/>
  <c r="AA11" i="34"/>
  <c r="AB11" i="34" s="1"/>
  <c r="AA18" i="34"/>
  <c r="AB18" i="34" s="1"/>
  <c r="AA13" i="34"/>
  <c r="AB13" i="34" s="1"/>
  <c r="AA20" i="34"/>
  <c r="AB20" i="34" s="1"/>
  <c r="AA25" i="34"/>
  <c r="AB25" i="34" s="1"/>
  <c r="AA17" i="34"/>
  <c r="AB17" i="34" s="1"/>
  <c r="AA28" i="34"/>
  <c r="AB28" i="34" s="1"/>
  <c r="AA12" i="34"/>
  <c r="AB12" i="34" s="1"/>
  <c r="AA8" i="34"/>
  <c r="AB8" i="34" s="1"/>
  <c r="AA19" i="34"/>
  <c r="AB19" i="34" s="1"/>
  <c r="AM14" i="34"/>
  <c r="AN14" i="34" s="1"/>
  <c r="R11" i="34"/>
  <c r="S11" i="34" s="1"/>
  <c r="R13" i="34"/>
  <c r="S13" i="34" s="1"/>
  <c r="C13" i="34" s="1"/>
  <c r="R25" i="34"/>
  <c r="S25" i="34" s="1"/>
  <c r="R28" i="34"/>
  <c r="S28" i="34" s="1"/>
  <c r="C28" i="34" s="1"/>
  <c r="R8" i="34"/>
  <c r="S8" i="34" s="1"/>
  <c r="R24" i="34"/>
  <c r="S24" i="34" s="1"/>
  <c r="R10" i="34"/>
  <c r="S10" i="34" s="1"/>
  <c r="R27" i="34"/>
  <c r="S27" i="34" s="1"/>
  <c r="R21" i="34"/>
  <c r="S21" i="34" s="1"/>
  <c r="R26" i="34"/>
  <c r="S26" i="34" s="1"/>
  <c r="AA24" i="34"/>
  <c r="AB24" i="34" s="1"/>
  <c r="AA15" i="34"/>
  <c r="AB15" i="34" s="1"/>
  <c r="AA10" i="34"/>
  <c r="AB10" i="34" s="1"/>
  <c r="AA23" i="34"/>
  <c r="AB23" i="34" s="1"/>
  <c r="AA27" i="34"/>
  <c r="AB27" i="34" s="1"/>
  <c r="AA16" i="34"/>
  <c r="AB16" i="34" s="1"/>
  <c r="AA21" i="34"/>
  <c r="AB21" i="34" s="1"/>
  <c r="AA9" i="34"/>
  <c r="AB9" i="34" s="1"/>
  <c r="R22" i="34"/>
  <c r="S22" i="34" s="1"/>
  <c r="R18" i="34"/>
  <c r="S18" i="34" s="1"/>
  <c r="C18" i="34" s="1"/>
  <c r="R20" i="34"/>
  <c r="S20" i="34" s="1"/>
  <c r="R17" i="34"/>
  <c r="S17" i="34" s="1"/>
  <c r="C17" i="34" s="1"/>
  <c r="R12" i="34"/>
  <c r="S12" i="34" s="1"/>
  <c r="R19" i="34"/>
  <c r="S19" i="34" s="1"/>
  <c r="C19" i="34" s="1"/>
  <c r="AA14" i="34"/>
  <c r="AB14" i="34" s="1"/>
  <c r="R15" i="34"/>
  <c r="S15" i="34" s="1"/>
  <c r="C15" i="34" s="1"/>
  <c r="R23" i="34"/>
  <c r="S23" i="34" s="1"/>
  <c r="R16" i="34"/>
  <c r="S16" i="34" s="1"/>
  <c r="C16" i="34" s="1"/>
  <c r="R9" i="34"/>
  <c r="S9" i="34" s="1"/>
  <c r="R14" i="34"/>
  <c r="S14" i="34" s="1"/>
  <c r="V11" i="43"/>
  <c r="W11" i="43" s="1"/>
  <c r="V19" i="43"/>
  <c r="W19" i="43" s="1"/>
  <c r="V27" i="43"/>
  <c r="W27" i="43" s="1"/>
  <c r="V22" i="43"/>
  <c r="W22" i="43" s="1"/>
  <c r="V28" i="43"/>
  <c r="W28" i="43" s="1"/>
  <c r="V13" i="43"/>
  <c r="W13" i="43" s="1"/>
  <c r="V17" i="43"/>
  <c r="W17" i="43" s="1"/>
  <c r="V10" i="43"/>
  <c r="W10" i="43" s="1"/>
  <c r="V18" i="43"/>
  <c r="W18" i="43" s="1"/>
  <c r="V12" i="43"/>
  <c r="W12" i="43" s="1"/>
  <c r="V23" i="43"/>
  <c r="W23" i="43" s="1"/>
  <c r="V14" i="43"/>
  <c r="W14" i="43" s="1"/>
  <c r="V16" i="43"/>
  <c r="W16" i="43" s="1"/>
  <c r="AH11" i="43"/>
  <c r="AI11" i="43" s="1"/>
  <c r="AI19" i="43"/>
  <c r="AH27" i="43"/>
  <c r="AI27" i="43" s="1"/>
  <c r="AH22" i="43"/>
  <c r="AI22" i="43" s="1"/>
  <c r="AH13" i="43"/>
  <c r="AI13" i="43" s="1"/>
  <c r="AH17" i="43"/>
  <c r="AI17" i="43" s="1"/>
  <c r="AH10" i="43"/>
  <c r="AI10" i="43" s="1"/>
  <c r="AQ11" i="43"/>
  <c r="AR11" i="43" s="1"/>
  <c r="AQ27" i="43"/>
  <c r="AR27" i="43" s="1"/>
  <c r="AQ17" i="43"/>
  <c r="AR17" i="43" s="1"/>
  <c r="AQ9" i="43"/>
  <c r="AR9" i="43" s="1"/>
  <c r="AQ15" i="43"/>
  <c r="AR15" i="43" s="1"/>
  <c r="AQ20" i="43"/>
  <c r="AR20" i="43" s="1"/>
  <c r="AQ21" i="43"/>
  <c r="AR21" i="43" s="1"/>
  <c r="AQ8" i="43"/>
  <c r="AR8" i="43" s="1"/>
  <c r="AH12" i="43"/>
  <c r="AI12" i="43" s="1"/>
  <c r="AI23" i="43"/>
  <c r="AH14" i="43"/>
  <c r="AI14" i="43" s="1"/>
  <c r="V25" i="43"/>
  <c r="W25" i="43" s="1"/>
  <c r="AQ25" i="43"/>
  <c r="AR25" i="43" s="1"/>
  <c r="AI18" i="43"/>
  <c r="V9" i="43"/>
  <c r="W9" i="43" s="1"/>
  <c r="V15" i="43"/>
  <c r="W15" i="43" s="1"/>
  <c r="V20" i="43"/>
  <c r="W20" i="43" s="1"/>
  <c r="V21" i="43"/>
  <c r="W21" i="43" s="1"/>
  <c r="V8" i="43"/>
  <c r="W8" i="43" s="1"/>
  <c r="AH16" i="43"/>
  <c r="AI16" i="43" s="1"/>
  <c r="V24" i="43"/>
  <c r="W24" i="43" s="1"/>
  <c r="AQ26" i="43"/>
  <c r="AR26" i="43" s="1"/>
  <c r="V8" i="44"/>
  <c r="W8" i="44" s="1"/>
  <c r="C22" i="44"/>
  <c r="C26" i="44"/>
  <c r="R9" i="36"/>
  <c r="S9" i="36" s="1"/>
  <c r="R17" i="36"/>
  <c r="S17" i="36" s="1"/>
  <c r="R11" i="36"/>
  <c r="S11" i="36" s="1"/>
  <c r="R11" i="35"/>
  <c r="S11" i="35" s="1"/>
  <c r="AM9" i="37"/>
  <c r="AN9" i="37" s="1"/>
  <c r="AQ8" i="44"/>
  <c r="AR8" i="44" s="1"/>
  <c r="V26" i="43"/>
  <c r="W26" i="43" s="1"/>
  <c r="AH26" i="43"/>
  <c r="AI26" i="43" s="1"/>
  <c r="R8" i="42"/>
  <c r="S8" i="42" s="1"/>
  <c r="AA8" i="42"/>
  <c r="AB8" i="42" s="1"/>
  <c r="AM8" i="42"/>
  <c r="AN8" i="42" s="1"/>
  <c r="R8" i="41"/>
  <c r="S8" i="41" s="1"/>
  <c r="AA8" i="41"/>
  <c r="AB8" i="41" s="1"/>
  <c r="C8" i="41" s="1"/>
  <c r="B8" i="41" s="1"/>
  <c r="AM8" i="41"/>
  <c r="AN8" i="41" s="1"/>
  <c r="R8" i="39"/>
  <c r="S8" i="39" s="1"/>
  <c r="AA8" i="39"/>
  <c r="AB8" i="39" s="1"/>
  <c r="AM8" i="39"/>
  <c r="AN8" i="39" s="1"/>
  <c r="R20" i="38"/>
  <c r="S20" i="38" s="1"/>
  <c r="AA20" i="38"/>
  <c r="AB20" i="38" s="1"/>
  <c r="R9" i="37"/>
  <c r="S9" i="37" s="1"/>
  <c r="AA9" i="37"/>
  <c r="AB9" i="37" s="1"/>
  <c r="R8" i="37"/>
  <c r="S8" i="37" s="1"/>
  <c r="AA8" i="37"/>
  <c r="AB8" i="37" s="1"/>
  <c r="AM8" i="37"/>
  <c r="AN8" i="37" s="1"/>
  <c r="AA13" i="36"/>
  <c r="AB13" i="36" s="1"/>
  <c r="AA17" i="36"/>
  <c r="AB17" i="36" s="1"/>
  <c r="AA18" i="36"/>
  <c r="AB18" i="36" s="1"/>
  <c r="AA10" i="36"/>
  <c r="AB10" i="36" s="1"/>
  <c r="AA16" i="36"/>
  <c r="AB16" i="36" s="1"/>
  <c r="AA11" i="36"/>
  <c r="AB11" i="36" s="1"/>
  <c r="AA20" i="36"/>
  <c r="AB20" i="36" s="1"/>
  <c r="AA14" i="36"/>
  <c r="AB14" i="36" s="1"/>
  <c r="AA19" i="36"/>
  <c r="AB19" i="36" s="1"/>
  <c r="AA12" i="36"/>
  <c r="AB12" i="36" s="1"/>
  <c r="AA22" i="36"/>
  <c r="AB22" i="36" s="1"/>
  <c r="AA21" i="36"/>
  <c r="AB21" i="36" s="1"/>
  <c r="AA23" i="36"/>
  <c r="AB23" i="36" s="1"/>
  <c r="AA8" i="36"/>
  <c r="AB8" i="36" s="1"/>
  <c r="R13" i="36"/>
  <c r="S13" i="36" s="1"/>
  <c r="R16" i="36"/>
  <c r="S16" i="36" s="1"/>
  <c r="R19" i="36"/>
  <c r="S19" i="36" s="1"/>
  <c r="C19" i="36" s="1"/>
  <c r="R15" i="36"/>
  <c r="S15" i="36" s="1"/>
  <c r="AM13" i="36"/>
  <c r="AN13" i="36" s="1"/>
  <c r="AM10" i="36"/>
  <c r="AN10" i="36" s="1"/>
  <c r="AM11" i="36"/>
  <c r="AN11" i="36" s="1"/>
  <c r="R10" i="36"/>
  <c r="S10" i="36" s="1"/>
  <c r="R14" i="36"/>
  <c r="S14" i="36" s="1"/>
  <c r="R12" i="36"/>
  <c r="S12" i="36" s="1"/>
  <c r="R22" i="36"/>
  <c r="S22" i="36" s="1"/>
  <c r="C22" i="36" s="1"/>
  <c r="R21" i="36"/>
  <c r="S21" i="36" s="1"/>
  <c r="C21" i="36" s="1"/>
  <c r="R23" i="36"/>
  <c r="S23" i="36" s="1"/>
  <c r="C23" i="36" s="1"/>
  <c r="R8" i="36"/>
  <c r="S8" i="36" s="1"/>
  <c r="R18" i="36"/>
  <c r="S18" i="36" s="1"/>
  <c r="C18" i="36" s="1"/>
  <c r="R20" i="36"/>
  <c r="S20" i="36" s="1"/>
  <c r="AM12" i="36"/>
  <c r="AN12" i="36" s="1"/>
  <c r="AM8" i="36"/>
  <c r="AN8" i="36" s="1"/>
  <c r="AM9" i="36"/>
  <c r="AN9" i="36" s="1"/>
  <c r="AA9" i="36"/>
  <c r="AB9" i="36" s="1"/>
  <c r="AA15" i="36"/>
  <c r="AB15" i="36" s="1"/>
  <c r="AM15" i="36"/>
  <c r="AN15" i="36" s="1"/>
  <c r="AA12" i="35"/>
  <c r="AB12" i="35" s="1"/>
  <c r="R10" i="35"/>
  <c r="S10" i="35" s="1"/>
  <c r="AA9" i="35"/>
  <c r="AB9" i="35" s="1"/>
  <c r="AA10" i="35"/>
  <c r="AB10" i="35" s="1"/>
  <c r="R8" i="35"/>
  <c r="S8" i="35" s="1"/>
  <c r="R12" i="35"/>
  <c r="S12" i="35" s="1"/>
  <c r="AM11" i="35"/>
  <c r="AN11" i="35" s="1"/>
  <c r="AA11" i="35"/>
  <c r="AB11" i="35" s="1"/>
  <c r="R9" i="35"/>
  <c r="S9" i="35" s="1"/>
  <c r="AA8" i="35"/>
  <c r="AB8" i="35" s="1"/>
  <c r="AM9" i="35"/>
  <c r="AN9" i="35" s="1"/>
  <c r="AM8" i="35"/>
  <c r="AN8" i="35" s="1"/>
  <c r="AV8" i="33"/>
  <c r="AW8" i="33" s="1"/>
  <c r="AV12" i="33"/>
  <c r="AW12" i="33" s="1"/>
  <c r="BH11" i="33"/>
  <c r="BI11" i="33" s="1"/>
  <c r="AM11" i="33"/>
  <c r="AN11" i="33" s="1"/>
  <c r="R11" i="33"/>
  <c r="S11" i="33" s="1"/>
  <c r="AV10" i="33"/>
  <c r="AW10" i="33" s="1"/>
  <c r="BH13" i="33"/>
  <c r="BI13" i="33" s="1"/>
  <c r="AM13" i="33"/>
  <c r="AN13" i="33" s="1"/>
  <c r="R13" i="33"/>
  <c r="S13" i="33" s="1"/>
  <c r="AV9" i="33"/>
  <c r="AW9" i="33" s="1"/>
  <c r="BH8" i="33"/>
  <c r="BI8" i="33" s="1"/>
  <c r="AM8" i="33"/>
  <c r="AN8" i="33" s="1"/>
  <c r="R8" i="33"/>
  <c r="S8" i="33" s="1"/>
  <c r="BH12" i="33"/>
  <c r="BI12" i="33" s="1"/>
  <c r="AM12" i="33"/>
  <c r="AN12" i="33" s="1"/>
  <c r="R12" i="33"/>
  <c r="S12" i="33" s="1"/>
  <c r="AV11" i="33"/>
  <c r="AW11" i="33" s="1"/>
  <c r="BH10" i="33"/>
  <c r="BI10" i="33" s="1"/>
  <c r="AM10" i="33"/>
  <c r="AN10" i="33" s="1"/>
  <c r="R10" i="33"/>
  <c r="S10" i="33" s="1"/>
  <c r="AV13" i="33"/>
  <c r="AW13" i="33" s="1"/>
  <c r="BH9" i="33"/>
  <c r="BI9" i="33" s="1"/>
  <c r="AM9" i="33"/>
  <c r="AN9" i="33" s="1"/>
  <c r="R9" i="33"/>
  <c r="S9" i="33" s="1"/>
  <c r="AM8" i="32"/>
  <c r="AN8" i="32" s="1"/>
  <c r="AM10" i="32"/>
  <c r="AN10" i="32" s="1"/>
  <c r="AM11" i="32"/>
  <c r="AN11" i="32" s="1"/>
  <c r="P8" i="32"/>
  <c r="Q8" i="32" s="1"/>
  <c r="P9" i="32"/>
  <c r="Q9" i="32" s="1"/>
  <c r="P10" i="32"/>
  <c r="Q10" i="32" s="1"/>
  <c r="AM9" i="32"/>
  <c r="AN9" i="32" s="1"/>
  <c r="P11" i="32"/>
  <c r="Q11" i="32" s="1"/>
  <c r="Y11" i="32"/>
  <c r="Z11" i="32" s="1"/>
  <c r="C20" i="43" l="1"/>
  <c r="C21" i="43"/>
  <c r="C25" i="43"/>
  <c r="C27" i="44"/>
  <c r="C25" i="44"/>
  <c r="C23" i="44"/>
  <c r="C8" i="44"/>
  <c r="C16" i="44"/>
  <c r="C15" i="43"/>
  <c r="C24" i="43"/>
  <c r="C8" i="43"/>
  <c r="C9" i="43"/>
  <c r="C16" i="43"/>
  <c r="C23" i="43"/>
  <c r="C18" i="43"/>
  <c r="C17" i="43"/>
  <c r="C28" i="43"/>
  <c r="C27" i="43"/>
  <c r="C11" i="43"/>
  <c r="C26" i="43"/>
  <c r="C14" i="43"/>
  <c r="C12" i="43"/>
  <c r="C10" i="43"/>
  <c r="C13" i="43"/>
  <c r="C22" i="43"/>
  <c r="C19" i="43"/>
  <c r="C29" i="44"/>
  <c r="C14" i="44"/>
  <c r="C17" i="44"/>
  <c r="C20" i="44"/>
  <c r="C15" i="44"/>
  <c r="C24" i="44"/>
  <c r="C12" i="44"/>
  <c r="C10" i="44"/>
  <c r="C21" i="44"/>
  <c r="C18" i="44"/>
  <c r="C9" i="44"/>
  <c r="C11" i="44"/>
  <c r="C9" i="33"/>
  <c r="C10" i="33"/>
  <c r="C12" i="33"/>
  <c r="C8" i="33"/>
  <c r="C13" i="33"/>
  <c r="C11" i="33"/>
  <c r="C10" i="36"/>
  <c r="C13" i="36"/>
  <c r="C8" i="36"/>
  <c r="C12" i="36"/>
  <c r="C13" i="38"/>
  <c r="C14" i="38"/>
  <c r="C14" i="34"/>
  <c r="C26" i="34"/>
  <c r="C27" i="34"/>
  <c r="C24" i="34"/>
  <c r="C8" i="34"/>
  <c r="C25" i="34"/>
  <c r="C11" i="34"/>
  <c r="C9" i="34"/>
  <c r="C23" i="34"/>
  <c r="C12" i="34"/>
  <c r="C20" i="34"/>
  <c r="C22" i="34"/>
  <c r="C21" i="34"/>
  <c r="C10" i="34"/>
  <c r="C20" i="36"/>
  <c r="C16" i="36"/>
  <c r="C14" i="36"/>
  <c r="C15" i="36"/>
  <c r="C17" i="36"/>
  <c r="C11" i="36"/>
  <c r="C9" i="36"/>
  <c r="C23" i="38"/>
  <c r="C12" i="38"/>
  <c r="C15" i="38"/>
  <c r="C9" i="38"/>
  <c r="C18" i="38"/>
  <c r="C21" i="38"/>
  <c r="C8" i="38"/>
  <c r="C19" i="38"/>
  <c r="C11" i="38"/>
  <c r="C10" i="38"/>
  <c r="C16" i="38"/>
  <c r="C17" i="38"/>
  <c r="C20" i="38"/>
  <c r="C15" i="40"/>
  <c r="C12" i="40"/>
  <c r="C8" i="40"/>
  <c r="C21" i="40"/>
  <c r="C9" i="40"/>
  <c r="C19" i="40"/>
  <c r="C14" i="40"/>
  <c r="C22" i="40"/>
  <c r="C20" i="40"/>
  <c r="C18" i="40"/>
  <c r="C11" i="40"/>
  <c r="C16" i="40"/>
  <c r="C8" i="35"/>
  <c r="C11" i="35"/>
  <c r="C9" i="35"/>
  <c r="C12" i="35"/>
  <c r="C10" i="35"/>
  <c r="C8" i="37"/>
  <c r="C9" i="37"/>
  <c r="AV17" i="27"/>
  <c r="AW17" i="27" s="1"/>
  <c r="AM24" i="27"/>
  <c r="AN24" i="27" s="1"/>
  <c r="AM19" i="27"/>
  <c r="AN19" i="27" s="1"/>
  <c r="AM15" i="27"/>
  <c r="AN15" i="27" s="1"/>
  <c r="AV14" i="27"/>
  <c r="AW14" i="27" s="1"/>
  <c r="BH20" i="27"/>
  <c r="BI20" i="27" s="1"/>
  <c r="R11" i="27"/>
  <c r="S11" i="27" s="1"/>
  <c r="BH17" i="27"/>
  <c r="BI17" i="27" s="1"/>
  <c r="R16" i="27"/>
  <c r="S16" i="27" s="1"/>
  <c r="AV21" i="27"/>
  <c r="AW21" i="27" s="1"/>
  <c r="R15" i="27"/>
  <c r="S15" i="27" s="1"/>
  <c r="BH14" i="27"/>
  <c r="BI14" i="27" s="1"/>
  <c r="AV22" i="27"/>
  <c r="AW22" i="27" s="1"/>
  <c r="AV10" i="27"/>
  <c r="AW10" i="27" s="1"/>
  <c r="AM18" i="27"/>
  <c r="AN18" i="27" s="1"/>
  <c r="AV9" i="27"/>
  <c r="AW9" i="27" s="1"/>
  <c r="BH18" i="27"/>
  <c r="BI18" i="27" s="1"/>
  <c r="R28" i="27"/>
  <c r="S28" i="27" s="1"/>
  <c r="C28" i="27" s="1"/>
  <c r="AV16" i="27"/>
  <c r="AW16" i="27" s="1"/>
  <c r="R24" i="27"/>
  <c r="S24" i="27" s="1"/>
  <c r="BI21" i="27"/>
  <c r="BH15" i="27"/>
  <c r="BI15" i="27" s="1"/>
  <c r="AM16" i="27"/>
  <c r="AN16" i="27" s="1"/>
  <c r="AM21" i="27"/>
  <c r="AN21" i="27" s="1"/>
  <c r="BH9" i="27"/>
  <c r="BI9" i="27" s="1"/>
  <c r="R20" i="27"/>
  <c r="S20" i="27" s="1"/>
  <c r="AV24" i="27"/>
  <c r="AW24" i="27" s="1"/>
  <c r="BH16" i="27"/>
  <c r="BI16" i="27" s="1"/>
  <c r="R19" i="27"/>
  <c r="S19" i="27" s="1"/>
  <c r="AV15" i="27"/>
  <c r="AW15" i="27" s="1"/>
  <c r="R25" i="27"/>
  <c r="S25" i="27" s="1"/>
  <c r="R14" i="27"/>
  <c r="S14" i="27" s="1"/>
  <c r="AV13" i="27"/>
  <c r="AW13" i="27" s="1"/>
  <c r="R10" i="27"/>
  <c r="S10" i="27" s="1"/>
  <c r="AV20" i="27"/>
  <c r="AW20" i="27" s="1"/>
  <c r="R22" i="27"/>
  <c r="S22" i="27" s="1"/>
  <c r="AV19" i="27"/>
  <c r="AW19" i="27" s="1"/>
  <c r="AV12" i="27"/>
  <c r="AW12" i="27" s="1"/>
  <c r="AM17" i="27"/>
  <c r="AN17" i="27" s="1"/>
  <c r="AM26" i="27"/>
  <c r="AN26" i="27" s="1"/>
  <c r="BH8" i="27"/>
  <c r="BI8" i="27" s="1"/>
  <c r="R9" i="27"/>
  <c r="S9" i="27" s="1"/>
  <c r="R29" i="27"/>
  <c r="S29" i="27" s="1"/>
  <c r="C29" i="27" s="1"/>
  <c r="AV23" i="27"/>
  <c r="AW23" i="27" s="1"/>
  <c r="BH19" i="27"/>
  <c r="BI19" i="27" s="1"/>
  <c r="R12" i="27"/>
  <c r="S12" i="27" s="1"/>
  <c r="AM8" i="27"/>
  <c r="AN8" i="27" s="1"/>
  <c r="AV18" i="27"/>
  <c r="AW18" i="27" s="1"/>
  <c r="AM9" i="27"/>
  <c r="AN9" i="27" s="1"/>
  <c r="AM20" i="27"/>
  <c r="AN20" i="27" s="1"/>
  <c r="AM22" i="27"/>
  <c r="AN22" i="27" s="1"/>
  <c r="BH10" i="27"/>
  <c r="BI10" i="27" s="1"/>
  <c r="R13" i="27"/>
  <c r="S13" i="27" s="1"/>
  <c r="AV11" i="27"/>
  <c r="AW11" i="27" s="1"/>
  <c r="BH22" i="27"/>
  <c r="BI22" i="27" s="1"/>
  <c r="R23" i="27"/>
  <c r="S23" i="27" s="1"/>
  <c r="R26" i="27"/>
  <c r="S26" i="27" s="1"/>
  <c r="R21" i="27"/>
  <c r="S21" i="27" s="1"/>
  <c r="AM23" i="27"/>
  <c r="AN23" i="27" s="1"/>
  <c r="AM12" i="27"/>
  <c r="AN12" i="27" s="1"/>
  <c r="AM25" i="27"/>
  <c r="AN25" i="27" s="1"/>
  <c r="R8" i="27"/>
  <c r="S8" i="27" s="1"/>
  <c r="BH11" i="27"/>
  <c r="BI11" i="27" s="1"/>
  <c r="R17" i="27"/>
  <c r="S17" i="27" s="1"/>
  <c r="BH12" i="27"/>
  <c r="BI12" i="27" s="1"/>
  <c r="AV25" i="27"/>
  <c r="AW25" i="27" s="1"/>
  <c r="AM14" i="27"/>
  <c r="AN14" i="27" s="1"/>
  <c r="AV8" i="27"/>
  <c r="AW8" i="27" s="1"/>
  <c r="AM13" i="27"/>
  <c r="AN13" i="27" s="1"/>
  <c r="AM11" i="27"/>
  <c r="AN11" i="27" s="1"/>
  <c r="AM10" i="27"/>
  <c r="AN10" i="27" s="1"/>
  <c r="BH13" i="27"/>
  <c r="BI13" i="27" s="1"/>
  <c r="R18" i="27"/>
  <c r="S18" i="27" s="1"/>
  <c r="R27" i="27"/>
  <c r="S27" i="27" s="1"/>
  <c r="C27" i="27" s="1"/>
  <c r="R8" i="32"/>
  <c r="S8" i="32" s="1"/>
  <c r="R10" i="32"/>
  <c r="S10" i="32" s="1"/>
  <c r="R9" i="32"/>
  <c r="S9" i="32" s="1"/>
  <c r="AA8" i="32"/>
  <c r="AB8" i="32" s="1"/>
  <c r="AA9" i="32"/>
  <c r="AB9" i="32" s="1"/>
  <c r="AA10" i="32"/>
  <c r="AB10" i="32" s="1"/>
  <c r="AA11" i="32"/>
  <c r="AB11" i="32" s="1"/>
  <c r="R11" i="32"/>
  <c r="S11" i="32" s="1"/>
  <c r="C26" i="27" l="1"/>
  <c r="C17" i="27"/>
  <c r="B12" i="43"/>
  <c r="B27" i="43"/>
  <c r="B16" i="43"/>
  <c r="B18" i="43"/>
  <c r="B26" i="43"/>
  <c r="B23" i="43"/>
  <c r="B22" i="43"/>
  <c r="B28" i="43"/>
  <c r="B8" i="43"/>
  <c r="B14" i="43"/>
  <c r="B11" i="43"/>
  <c r="B17" i="43"/>
  <c r="B9" i="43"/>
  <c r="B19" i="43"/>
  <c r="B13" i="43"/>
  <c r="B15" i="43"/>
  <c r="B25" i="43"/>
  <c r="B24" i="43"/>
  <c r="B10" i="43"/>
  <c r="B13" i="44"/>
  <c r="B9" i="44"/>
  <c r="B27" i="44"/>
  <c r="B24" i="44"/>
  <c r="B18" i="44"/>
  <c r="B19" i="44"/>
  <c r="B21" i="44"/>
  <c r="B8" i="44"/>
  <c r="B26" i="44"/>
  <c r="B17" i="44"/>
  <c r="B29" i="44"/>
  <c r="B23" i="44"/>
  <c r="B12" i="44"/>
  <c r="B10" i="44"/>
  <c r="B11" i="44"/>
  <c r="B16" i="44"/>
  <c r="B20" i="44"/>
  <c r="B22" i="44"/>
  <c r="B15" i="44"/>
  <c r="B14" i="44"/>
  <c r="B28" i="44"/>
  <c r="C8" i="27"/>
  <c r="C21" i="27"/>
  <c r="C23" i="27"/>
  <c r="C9" i="27"/>
  <c r="C10" i="27"/>
  <c r="C24" i="27"/>
  <c r="C15" i="27"/>
  <c r="C12" i="27"/>
  <c r="C14" i="27"/>
  <c r="C16" i="27"/>
  <c r="C11" i="27"/>
  <c r="C18" i="27"/>
  <c r="C13" i="27"/>
  <c r="C22" i="27"/>
  <c r="C25" i="27"/>
  <c r="C19" i="27"/>
  <c r="C20" i="27"/>
  <c r="B9" i="33"/>
  <c r="B8" i="33"/>
  <c r="B10" i="33"/>
  <c r="B11" i="33"/>
  <c r="B13" i="33"/>
  <c r="B12" i="33"/>
  <c r="B9" i="34"/>
  <c r="B27" i="34"/>
  <c r="B8" i="34"/>
  <c r="B18" i="34"/>
  <c r="B22" i="34"/>
  <c r="B14" i="34"/>
  <c r="B20" i="34"/>
  <c r="B23" i="34"/>
  <c r="B15" i="34"/>
  <c r="B28" i="34"/>
  <c r="B12" i="34"/>
  <c r="B24" i="34"/>
  <c r="B26" i="34"/>
  <c r="B25" i="34"/>
  <c r="B17" i="34"/>
  <c r="B16" i="34"/>
  <c r="B13" i="34"/>
  <c r="B10" i="34"/>
  <c r="B21" i="34"/>
  <c r="B11" i="34"/>
  <c r="B19" i="34"/>
  <c r="B20" i="36"/>
  <c r="B14" i="36"/>
  <c r="B10" i="36"/>
  <c r="B12" i="36"/>
  <c r="B16" i="36"/>
  <c r="B9" i="36"/>
  <c r="B23" i="36"/>
  <c r="B13" i="36"/>
  <c r="B11" i="36"/>
  <c r="B17" i="36"/>
  <c r="B19" i="36"/>
  <c r="B22" i="36"/>
  <c r="B21" i="36"/>
  <c r="B8" i="36"/>
  <c r="B18" i="36"/>
  <c r="B8" i="38"/>
  <c r="B13" i="38"/>
  <c r="B23" i="38"/>
  <c r="B19" i="38"/>
  <c r="B15" i="38"/>
  <c r="B16" i="38"/>
  <c r="B12" i="38"/>
  <c r="B17" i="38"/>
  <c r="B22" i="38"/>
  <c r="B21" i="38"/>
  <c r="B18" i="38"/>
  <c r="B10" i="38"/>
  <c r="B14" i="38"/>
  <c r="B11" i="38"/>
  <c r="B20" i="38"/>
  <c r="B9" i="38"/>
  <c r="B14" i="40"/>
  <c r="B15" i="40"/>
  <c r="B20" i="40"/>
  <c r="B17" i="40"/>
  <c r="B16" i="40"/>
  <c r="B9" i="40"/>
  <c r="B12" i="40"/>
  <c r="B18" i="40"/>
  <c r="B21" i="40"/>
  <c r="B22" i="40"/>
  <c r="B19" i="40"/>
  <c r="B11" i="40"/>
  <c r="B8" i="40"/>
  <c r="B10" i="40"/>
  <c r="C11" i="32"/>
  <c r="C10" i="32"/>
  <c r="C9" i="32"/>
  <c r="C8" i="32"/>
  <c r="B9" i="35"/>
  <c r="B10" i="35"/>
  <c r="B12" i="35"/>
  <c r="B8" i="35"/>
  <c r="B8" i="37"/>
  <c r="B19" i="27" l="1"/>
  <c r="B29" i="27"/>
  <c r="B22" i="27"/>
  <c r="B20" i="27"/>
  <c r="B25" i="27"/>
  <c r="B13" i="27"/>
  <c r="B11" i="27"/>
  <c r="B14" i="27"/>
  <c r="B15" i="27"/>
  <c r="B10" i="27"/>
  <c r="B23" i="27"/>
  <c r="B26" i="27"/>
  <c r="B27" i="27"/>
  <c r="B18" i="27"/>
  <c r="B16" i="27"/>
  <c r="B12" i="27"/>
  <c r="B24" i="27"/>
  <c r="B9" i="27"/>
  <c r="B21" i="27"/>
  <c r="B17" i="27"/>
  <c r="B28" i="27"/>
  <c r="B8" i="27"/>
  <c r="B10" i="32"/>
  <c r="B8" i="32"/>
  <c r="B11" i="32"/>
</calcChain>
</file>

<file path=xl/sharedStrings.xml><?xml version="1.0" encoding="utf-8"?>
<sst xmlns="http://schemas.openxmlformats.org/spreadsheetml/2006/main" count="906" uniqueCount="232">
  <si>
    <t>100-бальная система</t>
  </si>
  <si>
    <t>50-бальная система</t>
  </si>
  <si>
    <t>место</t>
  </si>
  <si>
    <t>баллы</t>
  </si>
  <si>
    <t>Итоговый результат</t>
  </si>
  <si>
    <t>Задание 2
100 баллов</t>
  </si>
  <si>
    <t>Задание 3
100 баллов</t>
  </si>
  <si>
    <t>Задание 4
100 баллов</t>
  </si>
  <si>
    <t>Итоговое место</t>
  </si>
  <si>
    <t>Сумма баллов</t>
  </si>
  <si>
    <t>ФИО</t>
  </si>
  <si>
    <t>Мин</t>
  </si>
  <si>
    <t>Сек</t>
  </si>
  <si>
    <t>Время</t>
  </si>
  <si>
    <t>Место</t>
  </si>
  <si>
    <t>Баллы</t>
  </si>
  <si>
    <t>Повторения</t>
  </si>
  <si>
    <t>Штраф</t>
  </si>
  <si>
    <t>Задание 1
100 баллов</t>
  </si>
  <si>
    <t>Вес</t>
  </si>
  <si>
    <t>9 минут</t>
  </si>
  <si>
    <t>Женщины</t>
  </si>
  <si>
    <t>Задание 1.1
100 баллов</t>
  </si>
  <si>
    <t>Задание 1.2
100 баллов</t>
  </si>
  <si>
    <t>12 минут</t>
  </si>
  <si>
    <t>Задание 5
100 баллов</t>
  </si>
  <si>
    <t>Мужчины</t>
  </si>
  <si>
    <t>Тайбрейк</t>
  </si>
  <si>
    <t>7 минут</t>
  </si>
  <si>
    <t>Регион</t>
  </si>
  <si>
    <t>Женщины
35-39</t>
  </si>
  <si>
    <t>Тоннаж</t>
  </si>
  <si>
    <t>10 минут</t>
  </si>
  <si>
    <t>Задание 6
100 баллов</t>
  </si>
  <si>
    <t>Мужчины
35-39</t>
  </si>
  <si>
    <t>Женщины
40-44</t>
  </si>
  <si>
    <t>Мужчины
40-44</t>
  </si>
  <si>
    <t>Женщины
45-49</t>
  </si>
  <si>
    <t>Мужчины
45-49</t>
  </si>
  <si>
    <t>Женщины
50-54</t>
  </si>
  <si>
    <t>Мужчины
50-54</t>
  </si>
  <si>
    <t>Женщины
55+</t>
  </si>
  <si>
    <t>Мужчины
55+</t>
  </si>
  <si>
    <t>Команды
ММ</t>
  </si>
  <si>
    <t>Название</t>
  </si>
  <si>
    <t>Задание 1.3
100 баллов</t>
  </si>
  <si>
    <t>Команды
МЖ</t>
  </si>
  <si>
    <t>8 минут</t>
  </si>
  <si>
    <t>Веселова Светлана</t>
  </si>
  <si>
    <t>Рыжонкова Анна</t>
  </si>
  <si>
    <t>Костикова Кристина</t>
  </si>
  <si>
    <t>Григоревская Анна</t>
  </si>
  <si>
    <t>Фунтикова Ирина</t>
  </si>
  <si>
    <t>Додонова Анастасия</t>
  </si>
  <si>
    <t>Владимир</t>
  </si>
  <si>
    <t>Кузьмин Артём</t>
  </si>
  <si>
    <t>Дудник Николай</t>
  </si>
  <si>
    <t>Кабанцов Игорь</t>
  </si>
  <si>
    <t>Мангазеев Аполлон</t>
  </si>
  <si>
    <t>Андреев Антон</t>
  </si>
  <si>
    <t>Орлов Тимофей</t>
  </si>
  <si>
    <t>Вихляев Станислав</t>
  </si>
  <si>
    <t>Солодов Станислав</t>
  </si>
  <si>
    <t>Герасимов Дмитрий</t>
  </si>
  <si>
    <t>Яшин Никита</t>
  </si>
  <si>
    <t>Зеленцов Артём</t>
  </si>
  <si>
    <t>Петросян Давид</t>
  </si>
  <si>
    <t>Камышанов Артур</t>
  </si>
  <si>
    <t>Ганин Андрей</t>
  </si>
  <si>
    <t>Смирнов Николай</t>
  </si>
  <si>
    <t>Светликов Артём</t>
  </si>
  <si>
    <t>Соловьёв Владимир</t>
  </si>
  <si>
    <t>Гулиев Назим</t>
  </si>
  <si>
    <t>Золин Данила</t>
  </si>
  <si>
    <t>Мартьянов Александр</t>
  </si>
  <si>
    <t>Клягин Владислав</t>
  </si>
  <si>
    <t>Дмитриев Максим</t>
  </si>
  <si>
    <t>Сказано - сделано!</t>
  </si>
  <si>
    <t>ПУХЛЯ</t>
  </si>
  <si>
    <t>CrossStulker</t>
  </si>
  <si>
    <t>ГудТим</t>
  </si>
  <si>
    <t>Бес сознания</t>
  </si>
  <si>
    <t>Сердитый дельфин</t>
  </si>
  <si>
    <t>Лучшие из 90-х</t>
  </si>
  <si>
    <t>Без накладок</t>
  </si>
  <si>
    <t>Без Опыта</t>
  </si>
  <si>
    <t>IceBox Team</t>
  </si>
  <si>
    <t>ПараСил</t>
  </si>
  <si>
    <t>Street-Fighters</t>
  </si>
  <si>
    <t>Старая кодла и Молодая кровь</t>
  </si>
  <si>
    <t>СашаТаня</t>
  </si>
  <si>
    <t>Chubby Bunny</t>
  </si>
  <si>
    <t>Big2BabyTape</t>
  </si>
  <si>
    <t>Внезапный движ</t>
  </si>
  <si>
    <t>In Team</t>
  </si>
  <si>
    <t>Назад дороги нет</t>
  </si>
  <si>
    <t>Отвар из капибар</t>
  </si>
  <si>
    <t>Штангабэнд Скандал</t>
  </si>
  <si>
    <t>Москва</t>
  </si>
  <si>
    <t>Калуга</t>
  </si>
  <si>
    <t>Нижний Новгород</t>
  </si>
  <si>
    <t>Кострома</t>
  </si>
  <si>
    <t>Красногорск</t>
  </si>
  <si>
    <t>Тверь</t>
  </si>
  <si>
    <t>Зеленоград</t>
  </si>
  <si>
    <t>Иваново / Шуя</t>
  </si>
  <si>
    <t>Становая Фляга</t>
  </si>
  <si>
    <t>Кирпич и Квадрат</t>
  </si>
  <si>
    <t>Красная машина</t>
  </si>
  <si>
    <t>Over The Top</t>
  </si>
  <si>
    <t>Smt</t>
  </si>
  <si>
    <t>Гармонисты из тучково</t>
  </si>
  <si>
    <t>Бывало и лучше</t>
  </si>
  <si>
    <t>Self made</t>
  </si>
  <si>
    <t>Молодые Атлеты</t>
  </si>
  <si>
    <t>Winston синий</t>
  </si>
  <si>
    <t>ДИКо</t>
  </si>
  <si>
    <t>Мутабор</t>
  </si>
  <si>
    <t>Профи на минималках</t>
  </si>
  <si>
    <t>Biba and Boba</t>
  </si>
  <si>
    <t>Guryev Crew</t>
  </si>
  <si>
    <t>ForFood</t>
  </si>
  <si>
    <t>V8 Сенеж</t>
  </si>
  <si>
    <t>Овны</t>
  </si>
  <si>
    <t>Idol Team</t>
  </si>
  <si>
    <t>Без вариантов</t>
  </si>
  <si>
    <t>Банный клуб оГоГо</t>
  </si>
  <si>
    <t>Орехово-Зуево</t>
  </si>
  <si>
    <t>Курск</t>
  </si>
  <si>
    <t>Тучково</t>
  </si>
  <si>
    <t>Солнечногорск</t>
  </si>
  <si>
    <t>Долгопрудный</t>
  </si>
  <si>
    <t>Москва / Наро-Фоминск</t>
  </si>
  <si>
    <t>Беляева Светлана</t>
  </si>
  <si>
    <t>Ломакина Анна</t>
  </si>
  <si>
    <t>Сибирцева Юлия</t>
  </si>
  <si>
    <t>Филиппова Мария</t>
  </si>
  <si>
    <t>Красильникова Тамара</t>
  </si>
  <si>
    <t>Фетхулина Елена</t>
  </si>
  <si>
    <t>Перепечина Евгения</t>
  </si>
  <si>
    <t>Зубрилова Елизавета</t>
  </si>
  <si>
    <t>Даниленко Ольга</t>
  </si>
  <si>
    <t>Тактуева Наталья</t>
  </si>
  <si>
    <t>Меркулова Ирина</t>
  </si>
  <si>
    <t>Самгина Наталья</t>
  </si>
  <si>
    <t>Новоселова Надежда</t>
  </si>
  <si>
    <t>Иванов Вячеслав</t>
  </si>
  <si>
    <t>Баранов Олег</t>
  </si>
  <si>
    <t>Воловиков Николай</t>
  </si>
  <si>
    <t>Марченко Алексей</t>
  </si>
  <si>
    <t>Баль Михаил</t>
  </si>
  <si>
    <t>Нурдыгин Илья</t>
  </si>
  <si>
    <t>Вихров Павел</t>
  </si>
  <si>
    <t>Дмитриев Андрей</t>
  </si>
  <si>
    <t>Николаев Дмитрий</t>
  </si>
  <si>
    <t>Лопухов Иван</t>
  </si>
  <si>
    <t>Ширшов Иван</t>
  </si>
  <si>
    <t>Астапчук Анатолий</t>
  </si>
  <si>
    <t>Рытиков Александр</t>
  </si>
  <si>
    <t>Голдин Сергей</t>
  </si>
  <si>
    <t>Петров Илья</t>
  </si>
  <si>
    <t>Бурков Николай</t>
  </si>
  <si>
    <t>Веснин Андрей</t>
  </si>
  <si>
    <t>Прудников Евгений</t>
  </si>
  <si>
    <t>Орионов Денис</t>
  </si>
  <si>
    <t>Грищенко Роман</t>
  </si>
  <si>
    <t>Зигмантович Алексей</t>
  </si>
  <si>
    <t>Кузнецов Константин</t>
  </si>
  <si>
    <t>Аникиев Алексей</t>
  </si>
  <si>
    <t>Тесленко Сергей</t>
  </si>
  <si>
    <t>Никитин Павел</t>
  </si>
  <si>
    <t>Векерле Эрик</t>
  </si>
  <si>
    <t>Хорохорин Михаил</t>
  </si>
  <si>
    <t>Кирин Василий</t>
  </si>
  <si>
    <t>Ширшов Александр</t>
  </si>
  <si>
    <t>Малахов Дмитрий</t>
  </si>
  <si>
    <t>Ларцев Александр</t>
  </si>
  <si>
    <t>Журин Иван</t>
  </si>
  <si>
    <t>Лебедев Владимир</t>
  </si>
  <si>
    <t>Балашов Владимир</t>
  </si>
  <si>
    <t>Куранов Александр</t>
  </si>
  <si>
    <t>Акуленков Владимир</t>
  </si>
  <si>
    <t>Парамонов Александр</t>
  </si>
  <si>
    <t>Сумароков Александр</t>
  </si>
  <si>
    <t>Онипко Дмитрий</t>
  </si>
  <si>
    <t>Пястолов Александр</t>
  </si>
  <si>
    <t>Туренко Артём</t>
  </si>
  <si>
    <t>Кулабухов Алексей</t>
  </si>
  <si>
    <t>Лепешкин Юрий</t>
  </si>
  <si>
    <t>Федосеев Александр</t>
  </si>
  <si>
    <t>Макогонов Алексей</t>
  </si>
  <si>
    <t>Шаров Игорь</t>
  </si>
  <si>
    <t>Ешмухамедов Тимур</t>
  </si>
  <si>
    <t>Поляков Павел</t>
  </si>
  <si>
    <t>Кумаитов Тимур</t>
  </si>
  <si>
    <t>Слезко Александр</t>
  </si>
  <si>
    <t>Копейкин Виталий</t>
  </si>
  <si>
    <t>Телянер Игорь</t>
  </si>
  <si>
    <t>Яковлев Вадим</t>
  </si>
  <si>
    <t>Комаров Юрий</t>
  </si>
  <si>
    <t>Ананьев Константин</t>
  </si>
  <si>
    <t>Шевляков Владислав</t>
  </si>
  <si>
    <t>Петров Сергей</t>
  </si>
  <si>
    <t>Клышбаев Сергей</t>
  </si>
  <si>
    <t>Малюгин Сергей</t>
  </si>
  <si>
    <t>Лукин Вячеслав</t>
  </si>
  <si>
    <t>Вечный Михаил</t>
  </si>
  <si>
    <t>Семенов Олег</t>
  </si>
  <si>
    <t>Логвиненко Сергей</t>
  </si>
  <si>
    <t>Карасев Кирилл</t>
  </si>
  <si>
    <t>Кузьменко Денис</t>
  </si>
  <si>
    <t>Тубольцев Александр</t>
  </si>
  <si>
    <t>Москва / Санкт-Петербург</t>
  </si>
  <si>
    <t>Орёл</t>
  </si>
  <si>
    <t>Московская область</t>
  </si>
  <si>
    <t>Брянск</t>
  </si>
  <si>
    <t>Санкт-Петербург</t>
  </si>
  <si>
    <t>Забайкальский край</t>
  </si>
  <si>
    <t>Новосибирск</t>
  </si>
  <si>
    <t>Сыктывкар</t>
  </si>
  <si>
    <t>Ижевск</t>
  </si>
  <si>
    <t>11 минут</t>
  </si>
  <si>
    <t>Федотов Андрей</t>
  </si>
  <si>
    <t>Орлов Михаил</t>
  </si>
  <si>
    <t>WolfLegion</t>
  </si>
  <si>
    <t>Чебоксары</t>
  </si>
  <si>
    <t>Тула</t>
  </si>
  <si>
    <t>Великий Новгород</t>
  </si>
  <si>
    <t>Екатеринбург</t>
  </si>
  <si>
    <t>Ярославль</t>
  </si>
  <si>
    <t>Калининград</t>
  </si>
  <si>
    <t>Ильин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</si>
</sst>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theme="0" tint="-4.9989318521683403E-2"/>
        <bgColor rgb="FFF2F2F2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4"/>
  </cellStyleXfs>
  <cellXfs count="45">
    <xf numFmtId="0" fontId="0" fillId="0" borderId="0" xfId="0"/>
    <xf numFmtId="0" fontId="0" fillId="3" borderId="3" xfId="0" applyFill="1" applyBorder="1"/>
    <xf numFmtId="0" fontId="0" fillId="4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3" fillId="8" borderId="5" xfId="0" applyFont="1" applyFill="1" applyBorder="1" applyAlignment="1">
      <alignment horizontal="center" vertical="center"/>
    </xf>
    <xf numFmtId="164" fontId="0" fillId="0" borderId="0" xfId="0" applyNumberFormat="1"/>
    <xf numFmtId="0" fontId="4" fillId="0" borderId="5" xfId="0" applyFont="1" applyBorder="1"/>
    <xf numFmtId="164" fontId="0" fillId="0" borderId="5" xfId="0" applyNumberFormat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0" fontId="1" fillId="0" borderId="0" xfId="0" applyFont="1"/>
    <xf numFmtId="21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/>
    <xf numFmtId="0" fontId="2" fillId="7" borderId="5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7" borderId="6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1" fillId="0" borderId="12" xfId="0" applyFont="1" applyBorder="1"/>
    <xf numFmtId="0" fontId="4" fillId="0" borderId="12" xfId="0" applyFont="1" applyBorder="1"/>
    <xf numFmtId="16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1" fillId="0" borderId="13" xfId="0" applyFont="1" applyBorder="1"/>
    <xf numFmtId="0" fontId="4" fillId="0" borderId="13" xfId="0" applyFont="1" applyBorder="1"/>
    <xf numFmtId="164" fontId="0" fillId="0" borderId="13" xfId="0" applyNumberForma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workbookViewId="0">
      <selection activeCell="K29" sqref="K29"/>
    </sheetView>
  </sheetViews>
  <sheetFormatPr defaultColWidth="14.42578125" defaultRowHeight="15" customHeight="1" x14ac:dyDescent="0.25"/>
  <cols>
    <col min="1" max="2" width="8.7109375" customWidth="1"/>
    <col min="3" max="3" width="1.42578125" customWidth="1"/>
    <col min="4" max="11" width="8.7109375" customWidth="1"/>
  </cols>
  <sheetData>
    <row r="1" spans="1:5" x14ac:dyDescent="0.25">
      <c r="A1" s="21" t="s">
        <v>0</v>
      </c>
      <c r="B1" s="22"/>
      <c r="C1" s="1"/>
      <c r="D1" s="21" t="s">
        <v>1</v>
      </c>
      <c r="E1" s="22"/>
    </row>
    <row r="2" spans="1:5" x14ac:dyDescent="0.25">
      <c r="A2" s="2" t="s">
        <v>2</v>
      </c>
      <c r="B2" s="2" t="s">
        <v>3</v>
      </c>
      <c r="C2" s="1"/>
      <c r="D2" s="2" t="s">
        <v>2</v>
      </c>
      <c r="E2" s="2" t="s">
        <v>3</v>
      </c>
    </row>
    <row r="3" spans="1:5" x14ac:dyDescent="0.25">
      <c r="A3" s="3">
        <v>1</v>
      </c>
      <c r="B3" s="3">
        <v>100</v>
      </c>
      <c r="C3" s="1"/>
      <c r="D3" s="3">
        <v>1</v>
      </c>
      <c r="E3" s="3">
        <v>50</v>
      </c>
    </row>
    <row r="4" spans="1:5" x14ac:dyDescent="0.25">
      <c r="A4" s="3">
        <v>2</v>
      </c>
      <c r="B4" s="3">
        <v>95</v>
      </c>
      <c r="C4" s="1"/>
      <c r="D4" s="3">
        <v>2</v>
      </c>
      <c r="E4" s="3">
        <v>48</v>
      </c>
    </row>
    <row r="5" spans="1:5" x14ac:dyDescent="0.25">
      <c r="A5" s="3">
        <v>3</v>
      </c>
      <c r="B5" s="3">
        <v>90</v>
      </c>
      <c r="C5" s="1"/>
      <c r="D5" s="3">
        <v>3</v>
      </c>
      <c r="E5" s="3">
        <v>46</v>
      </c>
    </row>
    <row r="6" spans="1:5" x14ac:dyDescent="0.25">
      <c r="A6" s="3">
        <v>4</v>
      </c>
      <c r="B6" s="3">
        <v>85</v>
      </c>
      <c r="C6" s="1"/>
      <c r="D6" s="3">
        <v>4</v>
      </c>
      <c r="E6" s="3">
        <v>44</v>
      </c>
    </row>
    <row r="7" spans="1:5" x14ac:dyDescent="0.25">
      <c r="A7" s="3">
        <v>5</v>
      </c>
      <c r="B7" s="3">
        <v>80</v>
      </c>
      <c r="C7" s="1"/>
      <c r="D7" s="3">
        <v>5</v>
      </c>
      <c r="E7" s="3">
        <v>42</v>
      </c>
    </row>
    <row r="8" spans="1:5" x14ac:dyDescent="0.25">
      <c r="A8" s="3">
        <v>6</v>
      </c>
      <c r="B8" s="3">
        <v>75</v>
      </c>
      <c r="C8" s="1"/>
      <c r="D8" s="3">
        <v>6</v>
      </c>
      <c r="E8" s="3">
        <v>41</v>
      </c>
    </row>
    <row r="9" spans="1:5" x14ac:dyDescent="0.25">
      <c r="A9" s="3">
        <v>7</v>
      </c>
      <c r="B9" s="3">
        <v>73</v>
      </c>
      <c r="C9" s="1"/>
      <c r="D9" s="3">
        <v>7</v>
      </c>
      <c r="E9" s="3">
        <v>40</v>
      </c>
    </row>
    <row r="10" spans="1:5" x14ac:dyDescent="0.25">
      <c r="A10" s="3">
        <v>8</v>
      </c>
      <c r="B10" s="3">
        <v>71</v>
      </c>
      <c r="C10" s="1"/>
      <c r="D10" s="3">
        <v>8</v>
      </c>
      <c r="E10" s="3">
        <v>39</v>
      </c>
    </row>
    <row r="11" spans="1:5" x14ac:dyDescent="0.25">
      <c r="A11" s="3">
        <v>9</v>
      </c>
      <c r="B11" s="3">
        <v>69</v>
      </c>
      <c r="C11" s="1"/>
      <c r="D11" s="3">
        <v>9</v>
      </c>
      <c r="E11" s="3">
        <v>38</v>
      </c>
    </row>
    <row r="12" spans="1:5" x14ac:dyDescent="0.25">
      <c r="A12" s="3">
        <v>10</v>
      </c>
      <c r="B12" s="3">
        <v>67</v>
      </c>
      <c r="C12" s="1"/>
      <c r="D12" s="3">
        <v>10</v>
      </c>
      <c r="E12" s="3">
        <v>37</v>
      </c>
    </row>
    <row r="13" spans="1:5" x14ac:dyDescent="0.25">
      <c r="A13" s="3">
        <v>11</v>
      </c>
      <c r="B13" s="3">
        <v>65</v>
      </c>
      <c r="C13" s="1"/>
      <c r="D13" s="3">
        <v>11</v>
      </c>
      <c r="E13" s="3">
        <v>36</v>
      </c>
    </row>
    <row r="14" spans="1:5" x14ac:dyDescent="0.25">
      <c r="A14" s="3">
        <v>12</v>
      </c>
      <c r="B14" s="3">
        <v>63</v>
      </c>
      <c r="C14" s="1"/>
      <c r="D14" s="3">
        <v>12</v>
      </c>
      <c r="E14" s="3">
        <v>35</v>
      </c>
    </row>
    <row r="15" spans="1:5" x14ac:dyDescent="0.25">
      <c r="A15" s="3">
        <v>13</v>
      </c>
      <c r="B15" s="3">
        <v>61</v>
      </c>
      <c r="C15" s="1"/>
      <c r="D15" s="3">
        <v>13</v>
      </c>
      <c r="E15" s="3">
        <v>34</v>
      </c>
    </row>
    <row r="16" spans="1:5" x14ac:dyDescent="0.25">
      <c r="A16" s="3">
        <v>14</v>
      </c>
      <c r="B16" s="3">
        <v>59</v>
      </c>
      <c r="C16" s="1"/>
      <c r="D16" s="3">
        <v>14</v>
      </c>
      <c r="E16" s="3">
        <v>33</v>
      </c>
    </row>
    <row r="17" spans="1:5" x14ac:dyDescent="0.25">
      <c r="A17" s="3">
        <v>15</v>
      </c>
      <c r="B17" s="3">
        <v>57</v>
      </c>
      <c r="C17" s="1"/>
      <c r="D17" s="3">
        <v>15</v>
      </c>
      <c r="E17" s="3">
        <v>32</v>
      </c>
    </row>
    <row r="18" spans="1:5" x14ac:dyDescent="0.25">
      <c r="A18" s="3">
        <v>16</v>
      </c>
      <c r="B18" s="3">
        <v>55</v>
      </c>
      <c r="C18" s="1"/>
      <c r="D18" s="3">
        <v>16</v>
      </c>
      <c r="E18" s="3">
        <v>31</v>
      </c>
    </row>
    <row r="19" spans="1:5" x14ac:dyDescent="0.25">
      <c r="A19" s="3">
        <v>17</v>
      </c>
      <c r="B19" s="3">
        <v>53</v>
      </c>
      <c r="C19" s="1"/>
      <c r="D19" s="3">
        <v>17</v>
      </c>
      <c r="E19" s="3">
        <v>30</v>
      </c>
    </row>
    <row r="20" spans="1:5" x14ac:dyDescent="0.25">
      <c r="A20" s="3">
        <v>18</v>
      </c>
      <c r="B20" s="3">
        <v>51</v>
      </c>
      <c r="C20" s="1"/>
      <c r="D20" s="3">
        <v>18</v>
      </c>
      <c r="E20" s="3">
        <v>29</v>
      </c>
    </row>
    <row r="21" spans="1:5" ht="15.75" customHeight="1" x14ac:dyDescent="0.25">
      <c r="A21" s="3">
        <v>19</v>
      </c>
      <c r="B21" s="3">
        <v>49</v>
      </c>
      <c r="C21" s="1"/>
      <c r="D21" s="3">
        <v>19</v>
      </c>
      <c r="E21" s="3">
        <v>28</v>
      </c>
    </row>
    <row r="22" spans="1:5" ht="15.75" customHeight="1" x14ac:dyDescent="0.25">
      <c r="A22" s="3">
        <v>20</v>
      </c>
      <c r="B22" s="3">
        <v>47</v>
      </c>
      <c r="C22" s="1"/>
      <c r="D22" s="3">
        <v>20</v>
      </c>
      <c r="E22" s="3">
        <v>27</v>
      </c>
    </row>
    <row r="23" spans="1:5" ht="15.75" customHeight="1" x14ac:dyDescent="0.25">
      <c r="A23" s="3">
        <v>21</v>
      </c>
      <c r="B23" s="3">
        <v>45</v>
      </c>
      <c r="C23" s="1"/>
      <c r="D23" s="3">
        <v>21</v>
      </c>
      <c r="E23" s="3">
        <v>26</v>
      </c>
    </row>
    <row r="24" spans="1:5" ht="15.75" customHeight="1" x14ac:dyDescent="0.25">
      <c r="A24" s="3">
        <v>22</v>
      </c>
      <c r="B24" s="3">
        <v>43</v>
      </c>
      <c r="C24" s="1"/>
      <c r="D24" s="3">
        <v>22</v>
      </c>
      <c r="E24" s="3">
        <v>25</v>
      </c>
    </row>
    <row r="25" spans="1:5" ht="15.75" customHeight="1" x14ac:dyDescent="0.25">
      <c r="A25" s="3">
        <v>23</v>
      </c>
      <c r="B25" s="3">
        <v>41</v>
      </c>
      <c r="C25" s="1"/>
      <c r="D25" s="3">
        <v>23</v>
      </c>
      <c r="E25" s="3">
        <v>24</v>
      </c>
    </row>
    <row r="26" spans="1:5" ht="15.75" customHeight="1" x14ac:dyDescent="0.25">
      <c r="A26" s="3">
        <v>24</v>
      </c>
      <c r="B26" s="3">
        <v>39</v>
      </c>
      <c r="C26" s="1"/>
      <c r="D26" s="3">
        <v>24</v>
      </c>
      <c r="E26" s="3">
        <v>23</v>
      </c>
    </row>
    <row r="27" spans="1:5" ht="15.75" customHeight="1" x14ac:dyDescent="0.25">
      <c r="A27" s="3">
        <v>25</v>
      </c>
      <c r="B27" s="3">
        <v>37</v>
      </c>
      <c r="C27" s="1"/>
      <c r="D27" s="3">
        <v>25</v>
      </c>
      <c r="E27" s="3">
        <v>22</v>
      </c>
    </row>
    <row r="28" spans="1:5" ht="15.75" customHeight="1" x14ac:dyDescent="0.25">
      <c r="A28" s="3">
        <v>26</v>
      </c>
      <c r="B28" s="3">
        <v>35</v>
      </c>
      <c r="C28" s="1"/>
      <c r="D28" s="3">
        <v>26</v>
      </c>
      <c r="E28" s="3">
        <v>21</v>
      </c>
    </row>
    <row r="29" spans="1:5" ht="15.75" customHeight="1" x14ac:dyDescent="0.25">
      <c r="A29" s="3">
        <v>27</v>
      </c>
      <c r="B29" s="3">
        <v>33</v>
      </c>
      <c r="C29" s="1"/>
      <c r="D29" s="3">
        <v>27</v>
      </c>
      <c r="E29" s="3">
        <v>20</v>
      </c>
    </row>
    <row r="30" spans="1:5" ht="15.75" customHeight="1" x14ac:dyDescent="0.25">
      <c r="A30" s="3">
        <v>28</v>
      </c>
      <c r="B30" s="3">
        <v>31</v>
      </c>
      <c r="C30" s="1"/>
      <c r="D30" s="3">
        <v>28</v>
      </c>
      <c r="E30" s="3">
        <v>19</v>
      </c>
    </row>
    <row r="31" spans="1:5" ht="15.75" customHeight="1" x14ac:dyDescent="0.25">
      <c r="A31" s="3">
        <v>29</v>
      </c>
      <c r="B31" s="3">
        <v>29</v>
      </c>
      <c r="C31" s="1"/>
      <c r="D31" s="3">
        <v>29</v>
      </c>
      <c r="E31" s="3">
        <v>18</v>
      </c>
    </row>
    <row r="32" spans="1:5" ht="15.75" customHeight="1" x14ac:dyDescent="0.25">
      <c r="A32" s="3">
        <v>30</v>
      </c>
      <c r="B32" s="3">
        <v>27</v>
      </c>
      <c r="C32" s="1"/>
      <c r="D32" s="3">
        <v>30</v>
      </c>
      <c r="E32" s="3">
        <v>17</v>
      </c>
    </row>
    <row r="33" spans="1:5" ht="15.75" customHeight="1" x14ac:dyDescent="0.25">
      <c r="A33" s="3">
        <v>31</v>
      </c>
      <c r="B33" s="3">
        <v>26</v>
      </c>
      <c r="C33" s="1"/>
      <c r="D33" s="3">
        <v>31</v>
      </c>
      <c r="E33" s="3">
        <v>16</v>
      </c>
    </row>
    <row r="34" spans="1:5" ht="15.75" customHeight="1" x14ac:dyDescent="0.25">
      <c r="A34" s="3">
        <v>32</v>
      </c>
      <c r="B34" s="3">
        <v>25</v>
      </c>
      <c r="C34" s="1"/>
      <c r="D34" s="3">
        <v>32</v>
      </c>
      <c r="E34" s="3">
        <v>15</v>
      </c>
    </row>
    <row r="35" spans="1:5" ht="15.75" customHeight="1" x14ac:dyDescent="0.25">
      <c r="A35" s="3">
        <v>33</v>
      </c>
      <c r="B35" s="3">
        <v>24</v>
      </c>
      <c r="C35" s="1"/>
      <c r="D35" s="3">
        <v>33</v>
      </c>
      <c r="E35" s="3">
        <v>14</v>
      </c>
    </row>
    <row r="36" spans="1:5" ht="15.75" customHeight="1" x14ac:dyDescent="0.25">
      <c r="A36" s="3">
        <v>34</v>
      </c>
      <c r="B36" s="3">
        <v>23</v>
      </c>
      <c r="C36" s="1"/>
      <c r="D36" s="3">
        <v>34</v>
      </c>
      <c r="E36" s="3">
        <v>13</v>
      </c>
    </row>
    <row r="37" spans="1:5" ht="15.75" customHeight="1" x14ac:dyDescent="0.25">
      <c r="A37" s="3">
        <v>35</v>
      </c>
      <c r="B37" s="3">
        <v>22</v>
      </c>
      <c r="C37" s="1"/>
      <c r="D37" s="3">
        <v>35</v>
      </c>
      <c r="E37" s="3">
        <v>12</v>
      </c>
    </row>
    <row r="38" spans="1:5" ht="15.75" customHeight="1" x14ac:dyDescent="0.25">
      <c r="A38" s="3">
        <v>36</v>
      </c>
      <c r="B38" s="3">
        <v>21</v>
      </c>
      <c r="C38" s="1"/>
      <c r="D38" s="3">
        <v>36</v>
      </c>
      <c r="E38" s="3">
        <v>11</v>
      </c>
    </row>
    <row r="39" spans="1:5" ht="15.75" customHeight="1" x14ac:dyDescent="0.25">
      <c r="A39" s="3">
        <v>37</v>
      </c>
      <c r="B39" s="3">
        <v>20</v>
      </c>
      <c r="C39" s="1"/>
      <c r="D39" s="3">
        <v>37</v>
      </c>
      <c r="E39" s="3">
        <v>10</v>
      </c>
    </row>
    <row r="40" spans="1:5" ht="15.75" customHeight="1" x14ac:dyDescent="0.25">
      <c r="A40" s="3">
        <v>38</v>
      </c>
      <c r="B40" s="3">
        <v>19</v>
      </c>
      <c r="C40" s="1"/>
      <c r="D40" s="3">
        <v>38</v>
      </c>
      <c r="E40" s="3">
        <v>9</v>
      </c>
    </row>
    <row r="41" spans="1:5" ht="15.75" customHeight="1" x14ac:dyDescent="0.25">
      <c r="A41" s="3">
        <v>39</v>
      </c>
      <c r="B41" s="3">
        <v>18</v>
      </c>
      <c r="C41" s="1"/>
      <c r="D41" s="3">
        <v>39</v>
      </c>
      <c r="E41" s="3">
        <v>8</v>
      </c>
    </row>
    <row r="42" spans="1:5" ht="15.75" customHeight="1" x14ac:dyDescent="0.25">
      <c r="A42" s="3">
        <v>40</v>
      </c>
      <c r="B42" s="3">
        <v>17</v>
      </c>
      <c r="C42" s="1"/>
      <c r="D42" s="3">
        <v>40</v>
      </c>
      <c r="E42" s="3">
        <v>7</v>
      </c>
    </row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A1:B1"/>
    <mergeCell ref="D1:E1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2EEF-49DF-471B-B193-A56136DB6ED0}">
  <sheetPr>
    <pageSetUpPr fitToPage="1"/>
  </sheetPr>
  <dimension ref="B1:AN37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8" sqref="G8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.7109375" bestFit="1" customWidth="1"/>
    <col min="6" max="6" width="20.710937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5.140625" customWidth="1" outlineLevel="1"/>
    <col min="13" max="13" width="4.28515625" customWidth="1" outlineLevel="1"/>
    <col min="14" max="14" width="7.140625" customWidth="1"/>
    <col min="15" max="15" width="6.85546875" customWidth="1"/>
    <col min="16" max="16" width="7.85546875" customWidth="1" outlineLevel="1"/>
    <col min="17" max="17" width="7.140625" customWidth="1" outlineLevel="1"/>
    <col min="18" max="18" width="7.140625" customWidth="1"/>
    <col min="19" max="19" width="6.85546875" customWidth="1"/>
    <col min="20" max="20" width="1.42578125" customWidth="1"/>
    <col min="21" max="21" width="5.140625" customWidth="1" outlineLevel="1"/>
    <col min="22" max="22" width="4.28515625" customWidth="1" outlineLevel="1"/>
    <col min="23" max="23" width="7.140625" customWidth="1"/>
    <col min="24" max="24" width="6.85546875" customWidth="1"/>
    <col min="25" max="25" width="7.85546875" customWidth="1" outlineLevel="1"/>
    <col min="26" max="26" width="7.140625" customWidth="1" outlineLevel="1"/>
    <col min="27" max="27" width="7.140625" customWidth="1"/>
    <col min="28" max="28" width="6.85546875" customWidth="1"/>
    <col min="29" max="29" width="1.42578125" customWidth="1"/>
    <col min="30" max="30" width="5.140625" customWidth="1" outlineLevel="1"/>
    <col min="31" max="31" width="4.28515625" customWidth="1" outlineLevel="1"/>
    <col min="32" max="32" width="9.140625" bestFit="1" customWidth="1"/>
    <col min="33" max="33" width="5.140625" customWidth="1" outlineLevel="1"/>
    <col min="34" max="34" width="4.28515625" customWidth="1" outlineLevel="1"/>
    <col min="35" max="35" width="7.140625" customWidth="1"/>
    <col min="36" max="36" width="6.85546875" customWidth="1"/>
    <col min="37" max="37" width="7.85546875" customWidth="1" outlineLevel="1"/>
    <col min="38" max="38" width="7.140625" customWidth="1" outlineLevel="1"/>
    <col min="39" max="39" width="7.140625" customWidth="1"/>
    <col min="40" max="40" width="6.85546875" customWidth="1"/>
  </cols>
  <sheetData>
    <row r="1" spans="2:40" x14ac:dyDescent="0.25">
      <c r="E1" s="12"/>
      <c r="F1" s="12"/>
      <c r="H1" s="3"/>
      <c r="I1" s="3"/>
      <c r="J1" s="4">
        <v>0</v>
      </c>
      <c r="L1" s="3"/>
      <c r="M1" s="3"/>
      <c r="N1" s="3"/>
      <c r="O1" s="3"/>
      <c r="P1" s="3"/>
      <c r="Q1" s="3"/>
      <c r="R1" s="3"/>
      <c r="S1" s="4">
        <v>0</v>
      </c>
      <c r="U1" s="3"/>
      <c r="V1" s="3"/>
      <c r="W1" s="3"/>
      <c r="X1" s="3"/>
      <c r="Y1" s="3"/>
      <c r="Z1" s="3"/>
      <c r="AA1" s="3"/>
      <c r="AB1" s="4">
        <v>0</v>
      </c>
      <c r="AG1" s="3"/>
      <c r="AH1" s="3"/>
      <c r="AI1" s="3"/>
      <c r="AJ1" s="3"/>
      <c r="AK1" s="3"/>
      <c r="AL1" s="3"/>
      <c r="AM1" s="3"/>
      <c r="AN1" s="4">
        <v>0</v>
      </c>
    </row>
    <row r="2" spans="2:40" x14ac:dyDescent="0.25">
      <c r="E2" s="12"/>
      <c r="F2" s="12"/>
      <c r="H2" s="3"/>
      <c r="I2" s="3"/>
      <c r="J2" s="3"/>
      <c r="L2" s="3"/>
      <c r="M2" s="3"/>
      <c r="N2" s="3"/>
      <c r="O2" s="5">
        <v>790</v>
      </c>
      <c r="P2" s="3"/>
      <c r="Q2" s="3"/>
      <c r="R2" s="3"/>
      <c r="S2" s="3"/>
      <c r="U2" s="3"/>
      <c r="V2" s="3"/>
      <c r="W2" s="3"/>
      <c r="X2" s="5">
        <v>84</v>
      </c>
      <c r="Y2" s="3"/>
      <c r="Z2" s="3"/>
      <c r="AA2" s="3"/>
      <c r="AB2" s="3"/>
      <c r="AG2" s="3"/>
      <c r="AH2" s="3"/>
      <c r="AI2" s="3"/>
      <c r="AJ2" s="5">
        <v>160</v>
      </c>
      <c r="AK2" s="3"/>
      <c r="AL2" s="3"/>
      <c r="AM2" s="3"/>
      <c r="AN2" s="3"/>
    </row>
    <row r="3" spans="2:40" x14ac:dyDescent="0.25">
      <c r="E3" s="12"/>
      <c r="F3" s="12"/>
      <c r="H3" s="6"/>
      <c r="I3" s="3"/>
      <c r="J3" s="3"/>
      <c r="L3" s="3"/>
      <c r="M3" s="3"/>
      <c r="N3" s="3"/>
      <c r="O3" s="6" t="s">
        <v>47</v>
      </c>
      <c r="P3" s="3"/>
      <c r="Q3" s="3"/>
      <c r="R3" s="3"/>
      <c r="S3" s="3"/>
      <c r="U3" s="3"/>
      <c r="V3" s="3"/>
      <c r="W3" s="3"/>
      <c r="X3" s="6" t="s">
        <v>24</v>
      </c>
      <c r="Y3" s="3"/>
      <c r="Z3" s="3"/>
      <c r="AA3" s="3"/>
      <c r="AB3" s="3"/>
      <c r="AG3" s="3"/>
      <c r="AH3" s="3"/>
      <c r="AI3" s="3"/>
      <c r="AJ3" s="6" t="s">
        <v>28</v>
      </c>
      <c r="AK3" s="3"/>
      <c r="AL3" s="3"/>
      <c r="AM3" s="3"/>
      <c r="AN3" s="3"/>
    </row>
    <row r="4" spans="2:40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G4" s="3"/>
      <c r="AH4" s="3"/>
      <c r="AI4" s="3"/>
      <c r="AJ4" s="3"/>
      <c r="AK4" s="3"/>
      <c r="AL4" s="3"/>
      <c r="AM4" s="3"/>
      <c r="AN4" s="3"/>
    </row>
    <row r="5" spans="2:40" ht="15" customHeight="1" x14ac:dyDescent="0.25">
      <c r="B5" s="23" t="s">
        <v>4</v>
      </c>
      <c r="C5" s="24"/>
      <c r="D5" s="7"/>
      <c r="E5" s="25" t="s">
        <v>39</v>
      </c>
      <c r="F5" s="26"/>
      <c r="G5" s="7"/>
      <c r="H5" s="25" t="s">
        <v>22</v>
      </c>
      <c r="I5" s="29"/>
      <c r="J5" s="26"/>
      <c r="K5" s="7"/>
      <c r="L5" s="23" t="s">
        <v>23</v>
      </c>
      <c r="M5" s="24"/>
      <c r="N5" s="24"/>
      <c r="O5" s="24"/>
      <c r="P5" s="24"/>
      <c r="Q5" s="24"/>
      <c r="R5" s="24"/>
      <c r="S5" s="24"/>
      <c r="T5" s="7"/>
      <c r="U5" s="23" t="s">
        <v>5</v>
      </c>
      <c r="V5" s="24"/>
      <c r="W5" s="24"/>
      <c r="X5" s="24"/>
      <c r="Y5" s="24"/>
      <c r="Z5" s="24"/>
      <c r="AA5" s="24"/>
      <c r="AB5" s="24"/>
      <c r="AC5" s="7"/>
      <c r="AD5" s="25" t="s">
        <v>6</v>
      </c>
      <c r="AE5" s="29"/>
      <c r="AF5" s="29"/>
      <c r="AG5" s="29"/>
      <c r="AH5" s="29"/>
      <c r="AI5" s="29"/>
      <c r="AJ5" s="29"/>
      <c r="AK5" s="29"/>
      <c r="AL5" s="29"/>
      <c r="AM5" s="29"/>
      <c r="AN5" s="26"/>
    </row>
    <row r="6" spans="2:40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4"/>
      <c r="M6" s="24"/>
      <c r="N6" s="24"/>
      <c r="O6" s="24"/>
      <c r="P6" s="24"/>
      <c r="Q6" s="24"/>
      <c r="R6" s="24"/>
      <c r="S6" s="24"/>
      <c r="T6" s="8"/>
      <c r="U6" s="24"/>
      <c r="V6" s="24"/>
      <c r="W6" s="24"/>
      <c r="X6" s="24"/>
      <c r="Y6" s="24"/>
      <c r="Z6" s="24"/>
      <c r="AA6" s="24"/>
      <c r="AB6" s="24"/>
      <c r="AC6" s="8"/>
      <c r="AD6" s="27"/>
      <c r="AE6" s="30"/>
      <c r="AF6" s="30"/>
      <c r="AG6" s="30"/>
      <c r="AH6" s="30"/>
      <c r="AI6" s="30"/>
      <c r="AJ6" s="30"/>
      <c r="AK6" s="30"/>
      <c r="AL6" s="30"/>
      <c r="AM6" s="30"/>
      <c r="AN6" s="28"/>
    </row>
    <row r="7" spans="2:40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8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27</v>
      </c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</row>
    <row r="8" spans="2:40" x14ac:dyDescent="0.25">
      <c r="B8" s="7">
        <f>RANK(C8,C$8:C$8,0)</f>
        <v>1</v>
      </c>
      <c r="C8" s="7">
        <f>SUMIF($H$1:$AN$1,1,$H8:$AN8)</f>
        <v>0</v>
      </c>
      <c r="D8" s="10"/>
      <c r="E8" s="13" t="s">
        <v>144</v>
      </c>
      <c r="F8" s="13"/>
      <c r="G8" s="10"/>
      <c r="H8" s="7"/>
      <c r="I8" s="7" t="e">
        <f>RANK(H8,H$8:H$8,0)</f>
        <v>#N/A</v>
      </c>
      <c r="J8" s="7" t="e">
        <f>VLOOKUP(I8,'Место-баллы'!$A$3:$E$52,2,0)</f>
        <v>#N/A</v>
      </c>
      <c r="K8" s="10"/>
      <c r="L8" s="7"/>
      <c r="M8" s="7"/>
      <c r="N8" s="14">
        <f t="shared" ref="N8" si="0">TIME(0,L8,M8)</f>
        <v>0</v>
      </c>
      <c r="O8" s="7"/>
      <c r="P8" s="7">
        <f t="shared" ref="P8" si="1">O$2-O8</f>
        <v>790</v>
      </c>
      <c r="Q8" s="14">
        <f t="shared" ref="Q8" si="2">N8+TIME(0,0,P8)</f>
        <v>9.1435185185185178E-3</v>
      </c>
      <c r="R8" s="7">
        <f>RANK(Q8,Q$8:Q$8,1)</f>
        <v>1</v>
      </c>
      <c r="S8" s="7">
        <f>VLOOKUP(R8,'Место-баллы'!$A$3:$E$52,2,0)</f>
        <v>100</v>
      </c>
      <c r="T8" s="10"/>
      <c r="U8" s="7"/>
      <c r="V8" s="7"/>
      <c r="W8" s="14">
        <f t="shared" ref="W8" si="3">TIME(0,U8,V8)</f>
        <v>0</v>
      </c>
      <c r="X8" s="7"/>
      <c r="Y8" s="7">
        <f t="shared" ref="Y8" si="4">X$2-X8</f>
        <v>84</v>
      </c>
      <c r="Z8" s="14">
        <f t="shared" ref="Z8" si="5">W8+TIME(0,0,Y8)</f>
        <v>9.7222222222222209E-4</v>
      </c>
      <c r="AA8" s="7">
        <f>RANK(Z8,Z$8:Z$8,1)</f>
        <v>1</v>
      </c>
      <c r="AB8" s="7">
        <f>VLOOKUP(AA8,'Место-баллы'!$A$3:$E$52,2,0)</f>
        <v>100</v>
      </c>
      <c r="AC8" s="10"/>
      <c r="AD8" s="7"/>
      <c r="AE8" s="7"/>
      <c r="AF8" s="14">
        <f t="shared" ref="AF8" si="6">TIME(0,AD8,AE8)</f>
        <v>0</v>
      </c>
      <c r="AG8" s="7"/>
      <c r="AH8" s="7"/>
      <c r="AI8" s="14">
        <f t="shared" ref="AI8" si="7">TIME(0,AG8,AH8)</f>
        <v>0</v>
      </c>
      <c r="AJ8" s="7"/>
      <c r="AK8" s="7">
        <f t="shared" ref="AK8" si="8">AJ$2-AJ8</f>
        <v>160</v>
      </c>
      <c r="AL8" s="14">
        <f t="shared" ref="AL8" si="9">AI8+TIME(0,0,AK8)</f>
        <v>1.8518518518518517E-3</v>
      </c>
      <c r="AM8" s="7">
        <f>RANK(AL8,AL$8:AL$8,1)</f>
        <v>1</v>
      </c>
      <c r="AN8" s="7">
        <f>VLOOKUP(AM8,'Место-баллы'!$A$3:$E$52,2,0)</f>
        <v>100</v>
      </c>
    </row>
    <row r="9" spans="2:40" ht="15.75" customHeight="1" x14ac:dyDescent="0.25"/>
    <row r="10" spans="2:40" ht="15.75" customHeight="1" x14ac:dyDescent="0.25"/>
    <row r="11" spans="2:40" ht="15.75" customHeight="1" x14ac:dyDescent="0.25"/>
    <row r="12" spans="2:40" ht="15.75" customHeight="1" x14ac:dyDescent="0.25"/>
    <row r="13" spans="2:40" ht="15.75" customHeight="1" x14ac:dyDescent="0.25"/>
    <row r="14" spans="2:40" ht="15.75" customHeight="1" x14ac:dyDescent="0.25"/>
    <row r="15" spans="2:40" ht="15.75" customHeight="1" x14ac:dyDescent="0.25"/>
    <row r="16" spans="2:4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</sheetData>
  <autoFilter ref="B7:AN7" xr:uid="{04C62EEF-49DF-471B-B193-A56136DB6ED0}"/>
  <mergeCells count="6">
    <mergeCell ref="AD5:AN6"/>
    <mergeCell ref="B5:C6"/>
    <mergeCell ref="E5:F6"/>
    <mergeCell ref="H5:J6"/>
    <mergeCell ref="L5:S6"/>
    <mergeCell ref="U5:AB6"/>
  </mergeCells>
  <printOptions horizontalCentered="1" verticalCentered="1"/>
  <pageMargins left="0" right="0" top="0" bottom="0" header="0" footer="0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A5E0-5E86-463E-9916-75AFB0B6CF7D}">
  <sheetPr>
    <pageSetUpPr fitToPage="1"/>
  </sheetPr>
  <dimension ref="B1:AN46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P17" sqref="AP17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1.42578125" bestFit="1" customWidth="1"/>
    <col min="6" max="6" width="20.710937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hidden="1" customWidth="1" outlineLevel="1"/>
    <col min="15" max="15" width="6.85546875" customWidth="1" collapsed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customWidth="1" collapsed="1"/>
    <col min="24" max="24" width="6.85546875" customWidth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9.140625" hidden="1" customWidth="1" outlineLevel="1"/>
    <col min="33" max="33" width="5.140625" hidden="1" customWidth="1" outlineLevel="1"/>
    <col min="34" max="34" width="4.28515625" hidden="1" customWidth="1" outlineLevel="1"/>
    <col min="35" max="35" width="7.140625" customWidth="1" collapsed="1"/>
    <col min="36" max="36" width="6.85546875" customWidth="1"/>
    <col min="37" max="37" width="7.85546875" hidden="1" customWidth="1" outlineLevel="1"/>
    <col min="38" max="38" width="7.140625" hidden="1" customWidth="1" outlineLevel="1"/>
    <col min="39" max="39" width="7.140625" customWidth="1" collapsed="1"/>
    <col min="40" max="40" width="6.85546875" customWidth="1"/>
  </cols>
  <sheetData>
    <row r="1" spans="2:40" x14ac:dyDescent="0.25">
      <c r="B1" s="20"/>
      <c r="E1" s="12"/>
      <c r="F1" s="12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U1" s="3"/>
      <c r="V1" s="3"/>
      <c r="W1" s="3"/>
      <c r="X1" s="3"/>
      <c r="Y1" s="3"/>
      <c r="Z1" s="3"/>
      <c r="AA1" s="3"/>
      <c r="AB1" s="4">
        <v>1</v>
      </c>
      <c r="AG1" s="3"/>
      <c r="AH1" s="3"/>
      <c r="AI1" s="3"/>
      <c r="AJ1" s="3"/>
      <c r="AK1" s="3"/>
      <c r="AL1" s="3"/>
      <c r="AM1" s="3"/>
      <c r="AN1" s="4">
        <v>1</v>
      </c>
    </row>
    <row r="2" spans="2:40" x14ac:dyDescent="0.25">
      <c r="B2" s="20"/>
      <c r="E2" s="12"/>
      <c r="F2" s="12"/>
      <c r="H2" s="3"/>
      <c r="I2" s="3"/>
      <c r="J2" s="3"/>
      <c r="L2" s="3"/>
      <c r="M2" s="3"/>
      <c r="N2" s="3"/>
      <c r="O2" s="5">
        <v>1090</v>
      </c>
      <c r="P2" s="3"/>
      <c r="Q2" s="3"/>
      <c r="R2" s="3"/>
      <c r="S2" s="3"/>
      <c r="U2" s="3"/>
      <c r="V2" s="3"/>
      <c r="W2" s="3"/>
      <c r="X2" s="5">
        <f>84+1+5+8</f>
        <v>98</v>
      </c>
      <c r="Y2" s="3"/>
      <c r="Z2" s="3"/>
      <c r="AA2" s="3"/>
      <c r="AB2" s="3"/>
      <c r="AG2" s="3"/>
      <c r="AH2" s="3"/>
      <c r="AI2" s="3"/>
      <c r="AJ2" s="5">
        <v>170</v>
      </c>
      <c r="AK2" s="3"/>
      <c r="AL2" s="3"/>
      <c r="AM2" s="3"/>
      <c r="AN2" s="3"/>
    </row>
    <row r="3" spans="2:40" x14ac:dyDescent="0.25">
      <c r="B3" s="20"/>
      <c r="E3" s="12"/>
      <c r="F3" s="12"/>
      <c r="H3" s="6"/>
      <c r="I3" s="3"/>
      <c r="J3" s="3"/>
      <c r="L3" s="3"/>
      <c r="M3" s="3"/>
      <c r="N3" s="3"/>
      <c r="O3" s="6" t="s">
        <v>47</v>
      </c>
      <c r="P3" s="3"/>
      <c r="Q3" s="3"/>
      <c r="R3" s="3"/>
      <c r="S3" s="3"/>
      <c r="U3" s="3"/>
      <c r="V3" s="3"/>
      <c r="W3" s="3"/>
      <c r="X3" s="6" t="s">
        <v>24</v>
      </c>
      <c r="Y3" s="3"/>
      <c r="Z3" s="3"/>
      <c r="AA3" s="3"/>
      <c r="AB3" s="3"/>
      <c r="AG3" s="3"/>
      <c r="AH3" s="3"/>
      <c r="AI3" s="3"/>
      <c r="AJ3" s="6" t="s">
        <v>28</v>
      </c>
      <c r="AK3" s="3"/>
      <c r="AL3" s="3"/>
      <c r="AM3" s="3"/>
      <c r="AN3" s="3"/>
    </row>
    <row r="4" spans="2:40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G4" s="3"/>
      <c r="AH4" s="3"/>
      <c r="AI4" s="3"/>
      <c r="AJ4" s="3"/>
      <c r="AK4" s="3"/>
      <c r="AL4" s="3"/>
      <c r="AM4" s="3"/>
      <c r="AN4" s="3"/>
    </row>
    <row r="5" spans="2:40" ht="15" customHeight="1" x14ac:dyDescent="0.25">
      <c r="B5" s="23" t="s">
        <v>4</v>
      </c>
      <c r="C5" s="24"/>
      <c r="D5" s="7"/>
      <c r="E5" s="25" t="s">
        <v>40</v>
      </c>
      <c r="F5" s="26"/>
      <c r="G5" s="7"/>
      <c r="H5" s="25" t="s">
        <v>22</v>
      </c>
      <c r="I5" s="29"/>
      <c r="J5" s="26"/>
      <c r="K5" s="7"/>
      <c r="L5" s="23" t="s">
        <v>23</v>
      </c>
      <c r="M5" s="24"/>
      <c r="N5" s="24"/>
      <c r="O5" s="24"/>
      <c r="P5" s="24"/>
      <c r="Q5" s="24"/>
      <c r="R5" s="24"/>
      <c r="S5" s="24"/>
      <c r="T5" s="7"/>
      <c r="U5" s="23" t="s">
        <v>5</v>
      </c>
      <c r="V5" s="24"/>
      <c r="W5" s="24"/>
      <c r="X5" s="24"/>
      <c r="Y5" s="24"/>
      <c r="Z5" s="24"/>
      <c r="AA5" s="24"/>
      <c r="AB5" s="24"/>
      <c r="AC5" s="7"/>
      <c r="AD5" s="25" t="s">
        <v>6</v>
      </c>
      <c r="AE5" s="29"/>
      <c r="AF5" s="29"/>
      <c r="AG5" s="29"/>
      <c r="AH5" s="29"/>
      <c r="AI5" s="29"/>
      <c r="AJ5" s="29"/>
      <c r="AK5" s="29"/>
      <c r="AL5" s="29"/>
      <c r="AM5" s="29"/>
      <c r="AN5" s="26"/>
    </row>
    <row r="6" spans="2:40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4"/>
      <c r="M6" s="24"/>
      <c r="N6" s="24"/>
      <c r="O6" s="24"/>
      <c r="P6" s="24"/>
      <c r="Q6" s="24"/>
      <c r="R6" s="24"/>
      <c r="S6" s="24"/>
      <c r="T6" s="8"/>
      <c r="U6" s="24"/>
      <c r="V6" s="24"/>
      <c r="W6" s="24"/>
      <c r="X6" s="24"/>
      <c r="Y6" s="24"/>
      <c r="Z6" s="24"/>
      <c r="AA6" s="24"/>
      <c r="AB6" s="24"/>
      <c r="AC6" s="8"/>
      <c r="AD6" s="27"/>
      <c r="AE6" s="30"/>
      <c r="AF6" s="30"/>
      <c r="AG6" s="30"/>
      <c r="AH6" s="30"/>
      <c r="AI6" s="30"/>
      <c r="AJ6" s="30"/>
      <c r="AK6" s="30"/>
      <c r="AL6" s="30"/>
      <c r="AM6" s="30"/>
      <c r="AN6" s="28"/>
    </row>
    <row r="7" spans="2:40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8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27</v>
      </c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</row>
    <row r="8" spans="2:40" x14ac:dyDescent="0.25">
      <c r="B8" s="7">
        <f>RANK(C8,C$8:C$22,0)</f>
        <v>1</v>
      </c>
      <c r="C8" s="7">
        <f t="shared" ref="C8:C22" si="0">SUMIF($H$1:$AN$1,1,$H8:$AN8)</f>
        <v>395</v>
      </c>
      <c r="D8" s="10"/>
      <c r="E8" s="16" t="s">
        <v>206</v>
      </c>
      <c r="F8" s="13" t="s">
        <v>104</v>
      </c>
      <c r="G8" s="10"/>
      <c r="H8" s="7">
        <v>106</v>
      </c>
      <c r="I8" s="7">
        <f t="shared" ref="I8:I22" si="1">RANK(H8,H$8:H$22,0)</f>
        <v>1</v>
      </c>
      <c r="J8" s="7">
        <f>VLOOKUP(I8,'Место-баллы'!$A$3:$E$52,2,0)</f>
        <v>100</v>
      </c>
      <c r="K8" s="10"/>
      <c r="L8" s="7">
        <v>8</v>
      </c>
      <c r="M8" s="7">
        <v>5</v>
      </c>
      <c r="N8" s="14">
        <f t="shared" ref="N8:N22" si="2">TIME(0,L8,M8)</f>
        <v>5.6134259259259271E-3</v>
      </c>
      <c r="O8" s="7">
        <f>590+474</f>
        <v>1064</v>
      </c>
      <c r="P8" s="7">
        <f t="shared" ref="P8:P22" si="3">O$2-O8</f>
        <v>26</v>
      </c>
      <c r="Q8" s="14">
        <f t="shared" ref="Q8:Q22" si="4">N8+TIME(0,0,P8)</f>
        <v>5.9143518518518529E-3</v>
      </c>
      <c r="R8" s="7">
        <f t="shared" ref="R8:R22" si="5">RANK(Q8,Q$8:Q$22,1)</f>
        <v>1</v>
      </c>
      <c r="S8" s="7">
        <f>VLOOKUP(R8,'Место-баллы'!$A$3:$E$52,2,0)</f>
        <v>100</v>
      </c>
      <c r="T8" s="10"/>
      <c r="U8" s="7">
        <v>8</v>
      </c>
      <c r="V8" s="7">
        <v>15</v>
      </c>
      <c r="W8" s="14">
        <f t="shared" ref="W8:W22" si="6">TIME(0,U8,V8)</f>
        <v>5.7291666666666671E-3</v>
      </c>
      <c r="X8" s="7">
        <v>98</v>
      </c>
      <c r="Y8" s="7">
        <f t="shared" ref="Y8:Y22" si="7">X$2-X8</f>
        <v>0</v>
      </c>
      <c r="Z8" s="14">
        <f t="shared" ref="Z8:Z22" si="8">W8+TIME(0,0,Y8)</f>
        <v>5.7291666666666671E-3</v>
      </c>
      <c r="AA8" s="7">
        <f t="shared" ref="AA8:AA22" si="9">RANK(Z8,Z$8:Z$22,1)</f>
        <v>2</v>
      </c>
      <c r="AB8" s="7">
        <f>VLOOKUP(AA8,'Место-баллы'!$A$3:$E$52,2,0)</f>
        <v>95</v>
      </c>
      <c r="AC8" s="10"/>
      <c r="AD8" s="7">
        <v>1</v>
      </c>
      <c r="AE8" s="7">
        <v>52</v>
      </c>
      <c r="AF8" s="14">
        <f t="shared" ref="AF8:AF15" si="10">TIME(0,AD8,AE8)</f>
        <v>1.2962962962962963E-3</v>
      </c>
      <c r="AG8" s="7">
        <v>5</v>
      </c>
      <c r="AH8" s="7">
        <v>13</v>
      </c>
      <c r="AI8" s="14">
        <f t="shared" ref="AI8:AI15" si="11">TIME(0,AG8,AH8)</f>
        <v>3.6226851851851854E-3</v>
      </c>
      <c r="AJ8" s="7">
        <v>170</v>
      </c>
      <c r="AK8" s="7">
        <f t="shared" ref="AK8:AK15" si="12">AJ$2-AJ8</f>
        <v>0</v>
      </c>
      <c r="AL8" s="14">
        <f t="shared" ref="AL8:AL15" si="13">AI8+TIME(0,0,AK8)</f>
        <v>3.6226851851851854E-3</v>
      </c>
      <c r="AM8" s="7">
        <f t="shared" ref="AM8:AM15" si="14">RANK(AL8,AL$8:AL$22,1)</f>
        <v>1</v>
      </c>
      <c r="AN8" s="7">
        <f>VLOOKUP(AM8,'Место-баллы'!$A$3:$E$52,2,0)</f>
        <v>100</v>
      </c>
    </row>
    <row r="9" spans="2:40" x14ac:dyDescent="0.25">
      <c r="B9" s="7">
        <f>RANK(C9,C$8:C$22,0)</f>
        <v>2</v>
      </c>
      <c r="C9" s="7">
        <f t="shared" si="0"/>
        <v>338</v>
      </c>
      <c r="D9" s="10"/>
      <c r="E9" s="16" t="s">
        <v>205</v>
      </c>
      <c r="F9" s="13"/>
      <c r="G9" s="10"/>
      <c r="H9" s="7">
        <v>93</v>
      </c>
      <c r="I9" s="7">
        <f t="shared" si="1"/>
        <v>4</v>
      </c>
      <c r="J9" s="7">
        <f>VLOOKUP(I9,'Место-баллы'!$A$3:$E$52,2,0)</f>
        <v>85</v>
      </c>
      <c r="K9" s="10"/>
      <c r="L9" s="7">
        <v>8</v>
      </c>
      <c r="M9" s="7">
        <v>5</v>
      </c>
      <c r="N9" s="14">
        <f t="shared" si="2"/>
        <v>5.6134259259259271E-3</v>
      </c>
      <c r="O9" s="7">
        <f>590+130</f>
        <v>720</v>
      </c>
      <c r="P9" s="7">
        <f t="shared" si="3"/>
        <v>370</v>
      </c>
      <c r="Q9" s="14">
        <f t="shared" si="4"/>
        <v>9.8958333333333346E-3</v>
      </c>
      <c r="R9" s="7">
        <f t="shared" si="5"/>
        <v>7</v>
      </c>
      <c r="S9" s="7">
        <f>VLOOKUP(R9,'Место-баллы'!$A$3:$E$52,2,0)</f>
        <v>73</v>
      </c>
      <c r="T9" s="10"/>
      <c r="U9" s="7">
        <v>9</v>
      </c>
      <c r="V9" s="7">
        <v>3</v>
      </c>
      <c r="W9" s="14">
        <f t="shared" si="6"/>
        <v>6.2847222222222228E-3</v>
      </c>
      <c r="X9" s="7">
        <v>98</v>
      </c>
      <c r="Y9" s="7">
        <f t="shared" si="7"/>
        <v>0</v>
      </c>
      <c r="Z9" s="14">
        <f t="shared" si="8"/>
        <v>6.2847222222222228E-3</v>
      </c>
      <c r="AA9" s="7">
        <f t="shared" si="9"/>
        <v>4</v>
      </c>
      <c r="AB9" s="7">
        <f>VLOOKUP(AA9,'Место-баллы'!$A$3:$E$52,2,0)</f>
        <v>85</v>
      </c>
      <c r="AC9" s="10"/>
      <c r="AD9" s="7">
        <v>2</v>
      </c>
      <c r="AE9" s="7">
        <v>9</v>
      </c>
      <c r="AF9" s="14">
        <f t="shared" si="10"/>
        <v>1.4930555555555556E-3</v>
      </c>
      <c r="AG9" s="7">
        <v>5</v>
      </c>
      <c r="AH9" s="7">
        <v>14</v>
      </c>
      <c r="AI9" s="14">
        <f t="shared" si="11"/>
        <v>3.6342592592592594E-3</v>
      </c>
      <c r="AJ9" s="7">
        <v>170</v>
      </c>
      <c r="AK9" s="7">
        <f t="shared" si="12"/>
        <v>0</v>
      </c>
      <c r="AL9" s="14">
        <f t="shared" si="13"/>
        <v>3.6342592592592594E-3</v>
      </c>
      <c r="AM9" s="7">
        <f t="shared" si="14"/>
        <v>2</v>
      </c>
      <c r="AN9" s="7">
        <f>VLOOKUP(AM9,'Место-баллы'!$A$3:$E$52,2,0)</f>
        <v>95</v>
      </c>
    </row>
    <row r="10" spans="2:40" x14ac:dyDescent="0.25">
      <c r="B10" s="7">
        <f>RANK(C10,C$8:C$22,0)</f>
        <v>3</v>
      </c>
      <c r="C10" s="7">
        <f t="shared" si="0"/>
        <v>331</v>
      </c>
      <c r="D10" s="10"/>
      <c r="E10" s="10" t="s">
        <v>185</v>
      </c>
      <c r="F10" s="13"/>
      <c r="G10" s="10"/>
      <c r="H10" s="7">
        <v>87</v>
      </c>
      <c r="I10" s="7">
        <f t="shared" si="1"/>
        <v>8</v>
      </c>
      <c r="J10" s="7">
        <f>VLOOKUP(I10,'Место-баллы'!$A$3:$E$52,2,0)</f>
        <v>71</v>
      </c>
      <c r="K10" s="10"/>
      <c r="L10" s="7">
        <v>8</v>
      </c>
      <c r="M10" s="7">
        <v>5</v>
      </c>
      <c r="N10" s="14">
        <f t="shared" si="2"/>
        <v>5.6134259259259271E-3</v>
      </c>
      <c r="O10" s="7">
        <f>590+189</f>
        <v>779</v>
      </c>
      <c r="P10" s="7">
        <f t="shared" si="3"/>
        <v>311</v>
      </c>
      <c r="Q10" s="14">
        <f t="shared" si="4"/>
        <v>9.2129629629629645E-3</v>
      </c>
      <c r="R10" s="7">
        <f t="shared" si="5"/>
        <v>3</v>
      </c>
      <c r="S10" s="7">
        <f>VLOOKUP(R10,'Место-баллы'!$A$3:$E$52,2,0)</f>
        <v>90</v>
      </c>
      <c r="T10" s="10"/>
      <c r="U10" s="7">
        <v>9</v>
      </c>
      <c r="V10" s="7">
        <v>37</v>
      </c>
      <c r="W10" s="14">
        <f t="shared" si="6"/>
        <v>6.6782407407407415E-3</v>
      </c>
      <c r="X10" s="7">
        <v>98</v>
      </c>
      <c r="Y10" s="7">
        <f t="shared" si="7"/>
        <v>0</v>
      </c>
      <c r="Z10" s="14">
        <f t="shared" si="8"/>
        <v>6.6782407407407415E-3</v>
      </c>
      <c r="AA10" s="7">
        <f t="shared" si="9"/>
        <v>5</v>
      </c>
      <c r="AB10" s="7">
        <f>VLOOKUP(AA10,'Место-баллы'!$A$3:$E$52,2,0)</f>
        <v>80</v>
      </c>
      <c r="AC10" s="10"/>
      <c r="AD10" s="7">
        <v>1</v>
      </c>
      <c r="AE10" s="7">
        <v>54</v>
      </c>
      <c r="AF10" s="14">
        <f t="shared" si="10"/>
        <v>1.3194444444444443E-3</v>
      </c>
      <c r="AG10" s="7">
        <v>5</v>
      </c>
      <c r="AH10" s="7">
        <v>17</v>
      </c>
      <c r="AI10" s="14">
        <f t="shared" si="11"/>
        <v>3.6689814814814814E-3</v>
      </c>
      <c r="AJ10" s="7">
        <v>170</v>
      </c>
      <c r="AK10" s="7">
        <f t="shared" si="12"/>
        <v>0</v>
      </c>
      <c r="AL10" s="14">
        <f t="shared" si="13"/>
        <v>3.6689814814814814E-3</v>
      </c>
      <c r="AM10" s="7">
        <f t="shared" si="14"/>
        <v>3</v>
      </c>
      <c r="AN10" s="7">
        <f>VLOOKUP(AM10,'Место-баллы'!$A$3:$E$52,2,0)</f>
        <v>90</v>
      </c>
    </row>
    <row r="11" spans="2:40" x14ac:dyDescent="0.25">
      <c r="B11" s="7">
        <f>RANK(C11,C$8:C$22,0)</f>
        <v>4</v>
      </c>
      <c r="C11" s="7">
        <f t="shared" si="0"/>
        <v>325</v>
      </c>
      <c r="D11" s="10"/>
      <c r="E11" s="16" t="s">
        <v>203</v>
      </c>
      <c r="F11" s="13" t="s">
        <v>230</v>
      </c>
      <c r="G11" s="10"/>
      <c r="H11" s="7">
        <v>91</v>
      </c>
      <c r="I11" s="7">
        <f t="shared" si="1"/>
        <v>6</v>
      </c>
      <c r="J11" s="7">
        <f>VLOOKUP(I11,'Место-баллы'!$A$3:$E$52,2,0)</f>
        <v>75</v>
      </c>
      <c r="K11" s="10"/>
      <c r="L11" s="7">
        <v>8</v>
      </c>
      <c r="M11" s="7">
        <v>5</v>
      </c>
      <c r="N11" s="14">
        <f t="shared" si="2"/>
        <v>5.6134259259259271E-3</v>
      </c>
      <c r="O11" s="7">
        <f>590+160</f>
        <v>750</v>
      </c>
      <c r="P11" s="7">
        <f t="shared" si="3"/>
        <v>340</v>
      </c>
      <c r="Q11" s="14">
        <f t="shared" si="4"/>
        <v>9.5486111111111119E-3</v>
      </c>
      <c r="R11" s="7">
        <f t="shared" si="5"/>
        <v>4</v>
      </c>
      <c r="S11" s="7">
        <f>VLOOKUP(R11,'Место-баллы'!$A$3:$E$52,2,0)</f>
        <v>85</v>
      </c>
      <c r="T11" s="10"/>
      <c r="U11" s="7">
        <v>8</v>
      </c>
      <c r="V11" s="7">
        <v>39</v>
      </c>
      <c r="W11" s="14">
        <f t="shared" si="6"/>
        <v>6.0069444444444441E-3</v>
      </c>
      <c r="X11" s="7">
        <v>98</v>
      </c>
      <c r="Y11" s="7">
        <f t="shared" si="7"/>
        <v>0</v>
      </c>
      <c r="Z11" s="14">
        <f t="shared" si="8"/>
        <v>6.0069444444444441E-3</v>
      </c>
      <c r="AA11" s="7">
        <f t="shared" si="9"/>
        <v>3</v>
      </c>
      <c r="AB11" s="7">
        <f>VLOOKUP(AA11,'Место-баллы'!$A$3:$E$52,2,0)</f>
        <v>90</v>
      </c>
      <c r="AC11" s="10"/>
      <c r="AD11" s="7">
        <v>3</v>
      </c>
      <c r="AE11" s="7">
        <v>30</v>
      </c>
      <c r="AF11" s="14">
        <f t="shared" si="10"/>
        <v>2.4305555555555556E-3</v>
      </c>
      <c r="AG11" s="7">
        <v>6</v>
      </c>
      <c r="AH11" s="7">
        <v>51</v>
      </c>
      <c r="AI11" s="14">
        <f t="shared" si="11"/>
        <v>4.7569444444444447E-3</v>
      </c>
      <c r="AJ11" s="7">
        <v>170</v>
      </c>
      <c r="AK11" s="7">
        <f t="shared" si="12"/>
        <v>0</v>
      </c>
      <c r="AL11" s="14">
        <f t="shared" si="13"/>
        <v>4.7569444444444447E-3</v>
      </c>
      <c r="AM11" s="7">
        <f t="shared" si="14"/>
        <v>6</v>
      </c>
      <c r="AN11" s="7">
        <f>VLOOKUP(AM11,'Место-баллы'!$A$3:$E$52,2,0)</f>
        <v>75</v>
      </c>
    </row>
    <row r="12" spans="2:40" x14ac:dyDescent="0.25">
      <c r="B12" s="7">
        <f>RANK(C12,C$8:C$22,0)</f>
        <v>5</v>
      </c>
      <c r="C12" s="7">
        <f t="shared" si="0"/>
        <v>320</v>
      </c>
      <c r="D12" s="10"/>
      <c r="E12" s="16" t="s">
        <v>211</v>
      </c>
      <c r="F12" s="13" t="s">
        <v>128</v>
      </c>
      <c r="G12" s="10"/>
      <c r="H12" s="7">
        <v>85</v>
      </c>
      <c r="I12" s="7">
        <f t="shared" si="1"/>
        <v>9</v>
      </c>
      <c r="J12" s="7">
        <f>VLOOKUP(I12,'Место-баллы'!$A$3:$E$52,2,0)</f>
        <v>69</v>
      </c>
      <c r="K12" s="10"/>
      <c r="L12" s="7">
        <v>8</v>
      </c>
      <c r="M12" s="7">
        <v>5</v>
      </c>
      <c r="N12" s="14">
        <f t="shared" si="2"/>
        <v>5.6134259259259271E-3</v>
      </c>
      <c r="O12" s="7">
        <f>590+53</f>
        <v>643</v>
      </c>
      <c r="P12" s="7">
        <f t="shared" si="3"/>
        <v>447</v>
      </c>
      <c r="Q12" s="14">
        <f t="shared" si="4"/>
        <v>1.0787037037037039E-2</v>
      </c>
      <c r="R12" s="7">
        <f t="shared" si="5"/>
        <v>8</v>
      </c>
      <c r="S12" s="7">
        <f>VLOOKUP(R12,'Место-баллы'!$A$3:$E$52,2,0)</f>
        <v>71</v>
      </c>
      <c r="T12" s="10"/>
      <c r="U12" s="7">
        <v>8</v>
      </c>
      <c r="V12" s="7">
        <v>13</v>
      </c>
      <c r="W12" s="14">
        <f t="shared" si="6"/>
        <v>5.7060185185185191E-3</v>
      </c>
      <c r="X12" s="7">
        <v>98</v>
      </c>
      <c r="Y12" s="7">
        <f t="shared" si="7"/>
        <v>0</v>
      </c>
      <c r="Z12" s="14">
        <f t="shared" si="8"/>
        <v>5.7060185185185191E-3</v>
      </c>
      <c r="AA12" s="7">
        <f t="shared" si="9"/>
        <v>1</v>
      </c>
      <c r="AB12" s="7">
        <f>VLOOKUP(AA12,'Место-баллы'!$A$3:$E$52,2,0)</f>
        <v>100</v>
      </c>
      <c r="AC12" s="10"/>
      <c r="AD12" s="7">
        <v>2</v>
      </c>
      <c r="AE12" s="7">
        <v>0</v>
      </c>
      <c r="AF12" s="14">
        <f t="shared" si="10"/>
        <v>1.3888888888888889E-3</v>
      </c>
      <c r="AG12" s="7">
        <v>6</v>
      </c>
      <c r="AH12" s="7">
        <v>47</v>
      </c>
      <c r="AI12" s="14">
        <f t="shared" si="11"/>
        <v>4.7106481481481478E-3</v>
      </c>
      <c r="AJ12" s="7">
        <v>170</v>
      </c>
      <c r="AK12" s="7">
        <f t="shared" si="12"/>
        <v>0</v>
      </c>
      <c r="AL12" s="14">
        <f t="shared" si="13"/>
        <v>4.7106481481481478E-3</v>
      </c>
      <c r="AM12" s="7">
        <f t="shared" si="14"/>
        <v>5</v>
      </c>
      <c r="AN12" s="7">
        <f>VLOOKUP(AM12,'Место-баллы'!$A$3:$E$52,2,0)</f>
        <v>80</v>
      </c>
    </row>
    <row r="13" spans="2:40" x14ac:dyDescent="0.25">
      <c r="B13" s="7">
        <v>6</v>
      </c>
      <c r="C13" s="7">
        <f t="shared" si="0"/>
        <v>320</v>
      </c>
      <c r="D13" s="10"/>
      <c r="E13" s="16" t="s">
        <v>208</v>
      </c>
      <c r="F13" s="13" t="s">
        <v>220</v>
      </c>
      <c r="G13" s="10"/>
      <c r="H13" s="7">
        <v>92</v>
      </c>
      <c r="I13" s="7">
        <f t="shared" si="1"/>
        <v>5</v>
      </c>
      <c r="J13" s="7">
        <f>VLOOKUP(I13,'Место-баллы'!$A$3:$E$52,2,0)</f>
        <v>80</v>
      </c>
      <c r="K13" s="10"/>
      <c r="L13" s="7">
        <v>8</v>
      </c>
      <c r="M13" s="7">
        <v>5</v>
      </c>
      <c r="N13" s="14">
        <f t="shared" si="2"/>
        <v>5.6134259259259271E-3</v>
      </c>
      <c r="O13" s="7">
        <f>590+140</f>
        <v>730</v>
      </c>
      <c r="P13" s="7">
        <f t="shared" si="3"/>
        <v>360</v>
      </c>
      <c r="Q13" s="14">
        <f t="shared" si="4"/>
        <v>9.7800925925925937E-3</v>
      </c>
      <c r="R13" s="7">
        <f t="shared" si="5"/>
        <v>5</v>
      </c>
      <c r="S13" s="7">
        <f>VLOOKUP(R13,'Место-баллы'!$A$3:$E$52,2,0)</f>
        <v>80</v>
      </c>
      <c r="T13" s="10"/>
      <c r="U13" s="7">
        <v>10</v>
      </c>
      <c r="V13" s="7">
        <v>25</v>
      </c>
      <c r="W13" s="14">
        <f t="shared" si="6"/>
        <v>7.2337962962962963E-3</v>
      </c>
      <c r="X13" s="7">
        <v>98</v>
      </c>
      <c r="Y13" s="7">
        <f t="shared" si="7"/>
        <v>0</v>
      </c>
      <c r="Z13" s="14">
        <f t="shared" si="8"/>
        <v>7.2337962962962963E-3</v>
      </c>
      <c r="AA13" s="7">
        <f t="shared" si="9"/>
        <v>6</v>
      </c>
      <c r="AB13" s="7">
        <f>VLOOKUP(AA13,'Место-баллы'!$A$3:$E$52,2,0)</f>
        <v>75</v>
      </c>
      <c r="AC13" s="10"/>
      <c r="AD13" s="7">
        <v>2</v>
      </c>
      <c r="AE13" s="7">
        <v>19</v>
      </c>
      <c r="AF13" s="14">
        <f t="shared" si="10"/>
        <v>1.6087962962962963E-3</v>
      </c>
      <c r="AG13" s="7">
        <v>6</v>
      </c>
      <c r="AH13" s="7">
        <v>29</v>
      </c>
      <c r="AI13" s="14">
        <f t="shared" si="11"/>
        <v>4.5023148148148149E-3</v>
      </c>
      <c r="AJ13" s="7">
        <v>170</v>
      </c>
      <c r="AK13" s="7">
        <f t="shared" si="12"/>
        <v>0</v>
      </c>
      <c r="AL13" s="14">
        <f t="shared" si="13"/>
        <v>4.5023148148148149E-3</v>
      </c>
      <c r="AM13" s="7">
        <f t="shared" si="14"/>
        <v>4</v>
      </c>
      <c r="AN13" s="7">
        <f>VLOOKUP(AM13,'Место-баллы'!$A$3:$E$52,2,0)</f>
        <v>85</v>
      </c>
    </row>
    <row r="14" spans="2:40" x14ac:dyDescent="0.25">
      <c r="B14" s="7">
        <f t="shared" ref="B14:B22" si="15">RANK(C14,C$8:C$22,0)</f>
        <v>7</v>
      </c>
      <c r="C14" s="7">
        <f t="shared" si="0"/>
        <v>306</v>
      </c>
      <c r="D14" s="10"/>
      <c r="E14" s="16" t="s">
        <v>202</v>
      </c>
      <c r="F14" s="13" t="s">
        <v>229</v>
      </c>
      <c r="G14" s="10"/>
      <c r="H14" s="7">
        <v>80</v>
      </c>
      <c r="I14" s="7">
        <f t="shared" si="1"/>
        <v>10</v>
      </c>
      <c r="J14" s="7">
        <f>VLOOKUP(I14,'Место-баллы'!$A$3:$E$52,2,0)</f>
        <v>67</v>
      </c>
      <c r="K14" s="10"/>
      <c r="L14" s="7">
        <v>8</v>
      </c>
      <c r="M14" s="7">
        <v>5</v>
      </c>
      <c r="N14" s="14">
        <f t="shared" si="2"/>
        <v>5.6134259259259271E-3</v>
      </c>
      <c r="O14" s="7">
        <f>590+390</f>
        <v>980</v>
      </c>
      <c r="P14" s="7">
        <f t="shared" si="3"/>
        <v>110</v>
      </c>
      <c r="Q14" s="14">
        <f t="shared" si="4"/>
        <v>6.8865740740740753E-3</v>
      </c>
      <c r="R14" s="7">
        <f t="shared" si="5"/>
        <v>2</v>
      </c>
      <c r="S14" s="7">
        <f>VLOOKUP(R14,'Место-баллы'!$A$3:$E$52,2,0)</f>
        <v>95</v>
      </c>
      <c r="T14" s="10"/>
      <c r="U14" s="7">
        <v>11</v>
      </c>
      <c r="V14" s="7">
        <v>5</v>
      </c>
      <c r="W14" s="14">
        <f t="shared" si="6"/>
        <v>7.69675925925926E-3</v>
      </c>
      <c r="X14" s="7">
        <v>98</v>
      </c>
      <c r="Y14" s="7">
        <f t="shared" si="7"/>
        <v>0</v>
      </c>
      <c r="Z14" s="14">
        <f t="shared" si="8"/>
        <v>7.69675925925926E-3</v>
      </c>
      <c r="AA14" s="7">
        <f t="shared" si="9"/>
        <v>8</v>
      </c>
      <c r="AB14" s="7">
        <f>VLOOKUP(AA14,'Место-баллы'!$A$3:$E$52,2,0)</f>
        <v>71</v>
      </c>
      <c r="AC14" s="10"/>
      <c r="AD14" s="7">
        <v>2</v>
      </c>
      <c r="AE14" s="7">
        <v>30</v>
      </c>
      <c r="AF14" s="14">
        <f t="shared" si="10"/>
        <v>1.736111111111111E-3</v>
      </c>
      <c r="AG14" s="7">
        <v>7</v>
      </c>
      <c r="AH14" s="7">
        <v>5</v>
      </c>
      <c r="AI14" s="14">
        <f t="shared" si="11"/>
        <v>4.9189814814814816E-3</v>
      </c>
      <c r="AJ14" s="7">
        <v>162</v>
      </c>
      <c r="AK14" s="7">
        <f t="shared" si="12"/>
        <v>8</v>
      </c>
      <c r="AL14" s="14">
        <f t="shared" si="13"/>
        <v>5.0115740740740745E-3</v>
      </c>
      <c r="AM14" s="7">
        <f t="shared" si="14"/>
        <v>7</v>
      </c>
      <c r="AN14" s="7">
        <f>VLOOKUP(AM14,'Место-баллы'!$A$3:$E$52,2,0)</f>
        <v>73</v>
      </c>
    </row>
    <row r="15" spans="2:40" x14ac:dyDescent="0.25">
      <c r="B15" s="7">
        <f t="shared" si="15"/>
        <v>8</v>
      </c>
      <c r="C15" s="7">
        <f t="shared" si="0"/>
        <v>292</v>
      </c>
      <c r="D15" s="10"/>
      <c r="E15" s="16" t="s">
        <v>200</v>
      </c>
      <c r="F15" s="13" t="s">
        <v>98</v>
      </c>
      <c r="G15" s="10"/>
      <c r="H15" s="7">
        <v>101</v>
      </c>
      <c r="I15" s="7">
        <f t="shared" si="1"/>
        <v>2</v>
      </c>
      <c r="J15" s="7">
        <f>VLOOKUP(I15,'Место-баллы'!$A$3:$E$52,2,0)</f>
        <v>95</v>
      </c>
      <c r="K15" s="10"/>
      <c r="L15" s="7">
        <v>8</v>
      </c>
      <c r="M15" s="7">
        <v>5</v>
      </c>
      <c r="N15" s="14">
        <f t="shared" si="2"/>
        <v>5.6134259259259271E-3</v>
      </c>
      <c r="O15" s="7">
        <v>574</v>
      </c>
      <c r="P15" s="7">
        <f t="shared" si="3"/>
        <v>516</v>
      </c>
      <c r="Q15" s="14">
        <f t="shared" si="4"/>
        <v>1.158564814814815E-2</v>
      </c>
      <c r="R15" s="7">
        <f t="shared" si="5"/>
        <v>10</v>
      </c>
      <c r="S15" s="7">
        <f>VLOOKUP(R15,'Место-баллы'!$A$3:$E$52,2,0)</f>
        <v>67</v>
      </c>
      <c r="T15" s="10"/>
      <c r="U15" s="7">
        <v>12</v>
      </c>
      <c r="V15" s="7">
        <v>5</v>
      </c>
      <c r="W15" s="14">
        <f t="shared" si="6"/>
        <v>8.3912037037037045E-3</v>
      </c>
      <c r="X15" s="7">
        <v>83</v>
      </c>
      <c r="Y15" s="7">
        <f t="shared" si="7"/>
        <v>15</v>
      </c>
      <c r="Z15" s="14">
        <f t="shared" si="8"/>
        <v>8.564814814814815E-3</v>
      </c>
      <c r="AA15" s="7">
        <f t="shared" si="9"/>
        <v>14</v>
      </c>
      <c r="AB15" s="7">
        <f>VLOOKUP(AA15,'Место-баллы'!$A$3:$E$52,2,0)</f>
        <v>59</v>
      </c>
      <c r="AC15" s="10"/>
      <c r="AD15" s="7">
        <v>2</v>
      </c>
      <c r="AE15" s="7">
        <v>41</v>
      </c>
      <c r="AF15" s="14">
        <f t="shared" si="10"/>
        <v>1.8634259259259261E-3</v>
      </c>
      <c r="AG15" s="7">
        <v>7</v>
      </c>
      <c r="AH15" s="7">
        <v>5</v>
      </c>
      <c r="AI15" s="14">
        <f t="shared" si="11"/>
        <v>4.9189814814814816E-3</v>
      </c>
      <c r="AJ15" s="7">
        <v>125</v>
      </c>
      <c r="AK15" s="7">
        <f t="shared" si="12"/>
        <v>45</v>
      </c>
      <c r="AL15" s="14">
        <f t="shared" si="13"/>
        <v>5.4398148148148149E-3</v>
      </c>
      <c r="AM15" s="7">
        <f t="shared" si="14"/>
        <v>8</v>
      </c>
      <c r="AN15" s="7">
        <f>VLOOKUP(AM15,'Место-баллы'!$A$3:$E$52,2,0)</f>
        <v>71</v>
      </c>
    </row>
    <row r="16" spans="2:40" x14ac:dyDescent="0.25">
      <c r="B16" s="7">
        <f t="shared" si="15"/>
        <v>9</v>
      </c>
      <c r="C16" s="7">
        <f t="shared" si="0"/>
        <v>216</v>
      </c>
      <c r="D16" s="10"/>
      <c r="E16" s="16" t="s">
        <v>201</v>
      </c>
      <c r="F16" s="13"/>
      <c r="G16" s="10"/>
      <c r="H16" s="7">
        <v>95</v>
      </c>
      <c r="I16" s="7">
        <f t="shared" si="1"/>
        <v>3</v>
      </c>
      <c r="J16" s="7">
        <f>VLOOKUP(I16,'Место-баллы'!$A$3:$E$52,2,0)</f>
        <v>90</v>
      </c>
      <c r="K16" s="10"/>
      <c r="L16" s="7">
        <v>8</v>
      </c>
      <c r="M16" s="7">
        <v>5</v>
      </c>
      <c r="N16" s="14">
        <f t="shared" si="2"/>
        <v>5.6134259259259271E-3</v>
      </c>
      <c r="O16" s="7">
        <f>557+9</f>
        <v>566</v>
      </c>
      <c r="P16" s="7">
        <f t="shared" si="3"/>
        <v>524</v>
      </c>
      <c r="Q16" s="14">
        <f t="shared" si="4"/>
        <v>1.1678240740740743E-2</v>
      </c>
      <c r="R16" s="7">
        <f t="shared" si="5"/>
        <v>12</v>
      </c>
      <c r="S16" s="7">
        <f>VLOOKUP(R16,'Место-баллы'!$A$3:$E$52,2,0)</f>
        <v>63</v>
      </c>
      <c r="T16" s="10"/>
      <c r="U16" s="7">
        <v>12</v>
      </c>
      <c r="V16" s="7">
        <v>5</v>
      </c>
      <c r="W16" s="14">
        <f t="shared" si="6"/>
        <v>8.3912037037037045E-3</v>
      </c>
      <c r="X16" s="7">
        <v>84</v>
      </c>
      <c r="Y16" s="7">
        <f t="shared" si="7"/>
        <v>14</v>
      </c>
      <c r="Z16" s="14">
        <f t="shared" si="8"/>
        <v>8.5532407407407415E-3</v>
      </c>
      <c r="AA16" s="7">
        <f t="shared" si="9"/>
        <v>12</v>
      </c>
      <c r="AB16" s="7">
        <f>VLOOKUP(AA16,'Место-баллы'!$A$3:$E$52,2,0)</f>
        <v>63</v>
      </c>
      <c r="AC16" s="10"/>
      <c r="AD16" s="7"/>
      <c r="AE16" s="7"/>
      <c r="AF16" s="14"/>
      <c r="AG16" s="7"/>
      <c r="AH16" s="7"/>
      <c r="AI16" s="14"/>
      <c r="AJ16" s="7"/>
      <c r="AK16" s="7"/>
      <c r="AL16" s="14"/>
      <c r="AM16" s="7"/>
      <c r="AN16" s="7">
        <v>0</v>
      </c>
    </row>
    <row r="17" spans="2:40" x14ac:dyDescent="0.25">
      <c r="B17" s="7">
        <f t="shared" si="15"/>
        <v>10</v>
      </c>
      <c r="C17" s="7">
        <f t="shared" si="0"/>
        <v>215</v>
      </c>
      <c r="D17" s="10"/>
      <c r="E17" s="16" t="s">
        <v>198</v>
      </c>
      <c r="F17" s="13"/>
      <c r="G17" s="10"/>
      <c r="H17" s="7">
        <v>80</v>
      </c>
      <c r="I17" s="7">
        <f t="shared" si="1"/>
        <v>10</v>
      </c>
      <c r="J17" s="7">
        <f>VLOOKUP(I17,'Место-баллы'!$A$3:$E$52,2,0)</f>
        <v>67</v>
      </c>
      <c r="K17" s="10"/>
      <c r="L17" s="7">
        <v>8</v>
      </c>
      <c r="M17" s="7">
        <v>5</v>
      </c>
      <c r="N17" s="14">
        <f t="shared" si="2"/>
        <v>5.6134259259259271E-3</v>
      </c>
      <c r="O17" s="7">
        <f>590+132</f>
        <v>722</v>
      </c>
      <c r="P17" s="7">
        <f t="shared" si="3"/>
        <v>368</v>
      </c>
      <c r="Q17" s="14">
        <f t="shared" si="4"/>
        <v>9.8726851851851857E-3</v>
      </c>
      <c r="R17" s="7">
        <f t="shared" si="5"/>
        <v>6</v>
      </c>
      <c r="S17" s="7">
        <f>VLOOKUP(R17,'Место-баллы'!$A$3:$E$52,2,0)</f>
        <v>75</v>
      </c>
      <c r="T17" s="10"/>
      <c r="U17" s="7">
        <v>10</v>
      </c>
      <c r="V17" s="7">
        <v>56</v>
      </c>
      <c r="W17" s="14">
        <f t="shared" si="6"/>
        <v>7.5925925925925926E-3</v>
      </c>
      <c r="X17" s="7">
        <v>98</v>
      </c>
      <c r="Y17" s="7">
        <f t="shared" si="7"/>
        <v>0</v>
      </c>
      <c r="Z17" s="14">
        <f t="shared" si="8"/>
        <v>7.5925925925925926E-3</v>
      </c>
      <c r="AA17" s="7">
        <f t="shared" si="9"/>
        <v>7</v>
      </c>
      <c r="AB17" s="7">
        <f>VLOOKUP(AA17,'Место-баллы'!$A$3:$E$52,2,0)</f>
        <v>73</v>
      </c>
      <c r="AC17" s="10"/>
      <c r="AD17" s="7"/>
      <c r="AE17" s="7"/>
      <c r="AF17" s="14"/>
      <c r="AG17" s="7"/>
      <c r="AH17" s="7"/>
      <c r="AI17" s="14"/>
      <c r="AJ17" s="7"/>
      <c r="AK17" s="7"/>
      <c r="AL17" s="14"/>
      <c r="AM17" s="7"/>
      <c r="AN17" s="7">
        <v>0</v>
      </c>
    </row>
    <row r="18" spans="2:40" x14ac:dyDescent="0.25">
      <c r="B18" s="7">
        <f t="shared" si="15"/>
        <v>11</v>
      </c>
      <c r="C18" s="7">
        <f t="shared" si="0"/>
        <v>195</v>
      </c>
      <c r="D18" s="10"/>
      <c r="E18" s="16" t="s">
        <v>197</v>
      </c>
      <c r="F18" s="13" t="s">
        <v>98</v>
      </c>
      <c r="G18" s="10"/>
      <c r="H18" s="7">
        <v>0</v>
      </c>
      <c r="I18" s="7">
        <f t="shared" si="1"/>
        <v>15</v>
      </c>
      <c r="J18" s="7">
        <f>VLOOKUP(I18,'Место-баллы'!$A$3:$E$52,2,0)</f>
        <v>57</v>
      </c>
      <c r="K18" s="10"/>
      <c r="L18" s="7">
        <v>8</v>
      </c>
      <c r="M18" s="7">
        <v>5</v>
      </c>
      <c r="N18" s="14">
        <f t="shared" si="2"/>
        <v>5.6134259259259271E-3</v>
      </c>
      <c r="O18" s="7">
        <v>640</v>
      </c>
      <c r="P18" s="7">
        <f t="shared" si="3"/>
        <v>450</v>
      </c>
      <c r="Q18" s="14">
        <f t="shared" si="4"/>
        <v>1.082175925925926E-2</v>
      </c>
      <c r="R18" s="7">
        <f t="shared" si="5"/>
        <v>9</v>
      </c>
      <c r="S18" s="7">
        <f>VLOOKUP(R18,'Место-баллы'!$A$3:$E$52,2,0)</f>
        <v>69</v>
      </c>
      <c r="T18" s="10"/>
      <c r="U18" s="7">
        <v>11</v>
      </c>
      <c r="V18" s="7">
        <v>17</v>
      </c>
      <c r="W18" s="14">
        <f t="shared" si="6"/>
        <v>7.8356481481481489E-3</v>
      </c>
      <c r="X18" s="7">
        <v>98</v>
      </c>
      <c r="Y18" s="7">
        <f t="shared" si="7"/>
        <v>0</v>
      </c>
      <c r="Z18" s="14">
        <f t="shared" si="8"/>
        <v>7.8356481481481489E-3</v>
      </c>
      <c r="AA18" s="7">
        <f t="shared" si="9"/>
        <v>9</v>
      </c>
      <c r="AB18" s="7">
        <f>VLOOKUP(AA18,'Место-баллы'!$A$3:$E$52,2,0)</f>
        <v>69</v>
      </c>
      <c r="AC18" s="10"/>
      <c r="AD18" s="7"/>
      <c r="AE18" s="7"/>
      <c r="AF18" s="14"/>
      <c r="AG18" s="7"/>
      <c r="AH18" s="7"/>
      <c r="AI18" s="14"/>
      <c r="AJ18" s="7"/>
      <c r="AK18" s="7"/>
      <c r="AL18" s="14"/>
      <c r="AM18" s="7"/>
      <c r="AN18" s="7">
        <v>0</v>
      </c>
    </row>
    <row r="19" spans="2:40" x14ac:dyDescent="0.25">
      <c r="B19" s="7">
        <f t="shared" si="15"/>
        <v>12</v>
      </c>
      <c r="C19" s="7">
        <f t="shared" si="0"/>
        <v>193</v>
      </c>
      <c r="D19" s="10"/>
      <c r="E19" s="16" t="s">
        <v>204</v>
      </c>
      <c r="F19" s="13"/>
      <c r="G19" s="10"/>
      <c r="H19" s="7">
        <v>65</v>
      </c>
      <c r="I19" s="7">
        <f t="shared" si="1"/>
        <v>13</v>
      </c>
      <c r="J19" s="7">
        <f>VLOOKUP(I19,'Место-баллы'!$A$3:$E$52,2,0)</f>
        <v>61</v>
      </c>
      <c r="K19" s="10"/>
      <c r="L19" s="7">
        <v>8</v>
      </c>
      <c r="M19" s="7">
        <v>5</v>
      </c>
      <c r="N19" s="14">
        <f t="shared" si="2"/>
        <v>5.6134259259259271E-3</v>
      </c>
      <c r="O19" s="7">
        <v>567</v>
      </c>
      <c r="P19" s="7">
        <f t="shared" si="3"/>
        <v>523</v>
      </c>
      <c r="Q19" s="14">
        <f t="shared" si="4"/>
        <v>1.1666666666666669E-2</v>
      </c>
      <c r="R19" s="7">
        <f t="shared" si="5"/>
        <v>11</v>
      </c>
      <c r="S19" s="7">
        <f>VLOOKUP(R19,'Место-баллы'!$A$3:$E$52,2,0)</f>
        <v>65</v>
      </c>
      <c r="T19" s="10"/>
      <c r="U19" s="7">
        <v>12</v>
      </c>
      <c r="V19" s="7">
        <v>5</v>
      </c>
      <c r="W19" s="14">
        <f t="shared" si="6"/>
        <v>8.3912037037037045E-3</v>
      </c>
      <c r="X19" s="7">
        <v>91</v>
      </c>
      <c r="Y19" s="7">
        <f t="shared" si="7"/>
        <v>7</v>
      </c>
      <c r="Z19" s="14">
        <f t="shared" si="8"/>
        <v>8.472222222222223E-3</v>
      </c>
      <c r="AA19" s="7">
        <f t="shared" si="9"/>
        <v>10</v>
      </c>
      <c r="AB19" s="7">
        <f>VLOOKUP(AA19,'Место-баллы'!$A$3:$E$52,2,0)</f>
        <v>67</v>
      </c>
      <c r="AC19" s="10"/>
      <c r="AD19" s="7"/>
      <c r="AE19" s="7"/>
      <c r="AF19" s="14"/>
      <c r="AG19" s="7"/>
      <c r="AH19" s="7"/>
      <c r="AI19" s="14"/>
      <c r="AJ19" s="7"/>
      <c r="AK19" s="7"/>
      <c r="AL19" s="14"/>
      <c r="AM19" s="7"/>
      <c r="AN19" s="7">
        <v>0</v>
      </c>
    </row>
    <row r="20" spans="2:40" x14ac:dyDescent="0.25">
      <c r="B20" s="7">
        <f t="shared" si="15"/>
        <v>13</v>
      </c>
      <c r="C20" s="7">
        <f t="shared" si="0"/>
        <v>189</v>
      </c>
      <c r="D20" s="10"/>
      <c r="E20" s="16" t="s">
        <v>199</v>
      </c>
      <c r="F20" s="13"/>
      <c r="G20" s="10"/>
      <c r="H20" s="7">
        <v>90</v>
      </c>
      <c r="I20" s="7">
        <f t="shared" si="1"/>
        <v>7</v>
      </c>
      <c r="J20" s="7">
        <f>VLOOKUP(I20,'Место-баллы'!$A$3:$E$52,2,0)</f>
        <v>73</v>
      </c>
      <c r="K20" s="10"/>
      <c r="L20" s="7">
        <v>8</v>
      </c>
      <c r="M20" s="7">
        <v>5</v>
      </c>
      <c r="N20" s="14">
        <f t="shared" si="2"/>
        <v>5.6134259259259271E-3</v>
      </c>
      <c r="O20" s="7">
        <v>513</v>
      </c>
      <c r="P20" s="7">
        <f t="shared" si="3"/>
        <v>577</v>
      </c>
      <c r="Q20" s="14">
        <f t="shared" si="4"/>
        <v>1.2291666666666669E-2</v>
      </c>
      <c r="R20" s="7">
        <f t="shared" si="5"/>
        <v>14</v>
      </c>
      <c r="S20" s="7">
        <f>VLOOKUP(R20,'Место-баллы'!$A$3:$E$52,2,0)</f>
        <v>59</v>
      </c>
      <c r="T20" s="10"/>
      <c r="U20" s="7">
        <v>12</v>
      </c>
      <c r="V20" s="7">
        <v>5</v>
      </c>
      <c r="W20" s="14">
        <f t="shared" si="6"/>
        <v>8.3912037037037045E-3</v>
      </c>
      <c r="X20" s="7">
        <v>56</v>
      </c>
      <c r="Y20" s="7">
        <f t="shared" si="7"/>
        <v>42</v>
      </c>
      <c r="Z20" s="14">
        <f t="shared" si="8"/>
        <v>8.8773148148148153E-3</v>
      </c>
      <c r="AA20" s="7">
        <f t="shared" si="9"/>
        <v>15</v>
      </c>
      <c r="AB20" s="7">
        <f>VLOOKUP(AA20,'Место-баллы'!$A$3:$E$52,2,0)</f>
        <v>57</v>
      </c>
      <c r="AC20" s="10"/>
      <c r="AD20" s="7"/>
      <c r="AE20" s="7"/>
      <c r="AF20" s="14"/>
      <c r="AG20" s="7"/>
      <c r="AH20" s="7"/>
      <c r="AI20" s="14"/>
      <c r="AJ20" s="7"/>
      <c r="AK20" s="7"/>
      <c r="AL20" s="14"/>
      <c r="AM20" s="7"/>
      <c r="AN20" s="7">
        <v>0</v>
      </c>
    </row>
    <row r="21" spans="2:40" x14ac:dyDescent="0.25">
      <c r="B21" s="7">
        <f t="shared" si="15"/>
        <v>14</v>
      </c>
      <c r="C21" s="7">
        <f t="shared" si="0"/>
        <v>187</v>
      </c>
      <c r="D21" s="10"/>
      <c r="E21" s="16" t="s">
        <v>207</v>
      </c>
      <c r="F21" s="13"/>
      <c r="G21" s="10"/>
      <c r="H21" s="7">
        <v>75</v>
      </c>
      <c r="I21" s="7">
        <f t="shared" si="1"/>
        <v>12</v>
      </c>
      <c r="J21" s="7">
        <f>VLOOKUP(I21,'Место-баллы'!$A$3:$E$52,2,0)</f>
        <v>63</v>
      </c>
      <c r="K21" s="10"/>
      <c r="L21" s="7">
        <v>8</v>
      </c>
      <c r="M21" s="7">
        <v>5</v>
      </c>
      <c r="N21" s="14">
        <f t="shared" si="2"/>
        <v>5.6134259259259271E-3</v>
      </c>
      <c r="O21" s="7">
        <v>549</v>
      </c>
      <c r="P21" s="7">
        <f t="shared" si="3"/>
        <v>541</v>
      </c>
      <c r="Q21" s="14">
        <f t="shared" si="4"/>
        <v>1.1875000000000002E-2</v>
      </c>
      <c r="R21" s="7">
        <f t="shared" si="5"/>
        <v>13</v>
      </c>
      <c r="S21" s="7">
        <f>VLOOKUP(R21,'Место-баллы'!$A$3:$E$52,2,0)</f>
        <v>61</v>
      </c>
      <c r="T21" s="10"/>
      <c r="U21" s="7">
        <v>12</v>
      </c>
      <c r="V21" s="7">
        <v>5</v>
      </c>
      <c r="W21" s="14">
        <f t="shared" si="6"/>
        <v>8.3912037037037045E-3</v>
      </c>
      <c r="X21" s="7">
        <v>84</v>
      </c>
      <c r="Y21" s="7">
        <f t="shared" si="7"/>
        <v>14</v>
      </c>
      <c r="Z21" s="14">
        <f t="shared" si="8"/>
        <v>8.5532407407407415E-3</v>
      </c>
      <c r="AA21" s="7">
        <f t="shared" si="9"/>
        <v>12</v>
      </c>
      <c r="AB21" s="7">
        <f>VLOOKUP(AA21,'Место-баллы'!$A$3:$E$52,2,0)</f>
        <v>63</v>
      </c>
      <c r="AC21" s="10"/>
      <c r="AD21" s="7"/>
      <c r="AE21" s="7"/>
      <c r="AF21" s="14"/>
      <c r="AG21" s="7"/>
      <c r="AH21" s="7"/>
      <c r="AI21" s="14"/>
      <c r="AJ21" s="7"/>
      <c r="AK21" s="7"/>
      <c r="AL21" s="14"/>
      <c r="AM21" s="7"/>
      <c r="AN21" s="7">
        <v>0</v>
      </c>
    </row>
    <row r="22" spans="2:40" x14ac:dyDescent="0.25">
      <c r="B22" s="7">
        <f t="shared" si="15"/>
        <v>15</v>
      </c>
      <c r="C22" s="7">
        <f t="shared" si="0"/>
        <v>181</v>
      </c>
      <c r="D22" s="10"/>
      <c r="E22" s="16" t="s">
        <v>57</v>
      </c>
      <c r="F22" s="13"/>
      <c r="G22" s="10"/>
      <c r="H22" s="7">
        <v>60</v>
      </c>
      <c r="I22" s="7">
        <f t="shared" si="1"/>
        <v>14</v>
      </c>
      <c r="J22" s="7">
        <f>VLOOKUP(I22,'Место-баллы'!$A$3:$E$52,2,0)</f>
        <v>59</v>
      </c>
      <c r="K22" s="10"/>
      <c r="L22" s="7">
        <v>8</v>
      </c>
      <c r="M22" s="7">
        <v>5</v>
      </c>
      <c r="N22" s="14">
        <f t="shared" si="2"/>
        <v>5.6134259259259271E-3</v>
      </c>
      <c r="O22" s="7">
        <v>483</v>
      </c>
      <c r="P22" s="7">
        <f t="shared" si="3"/>
        <v>607</v>
      </c>
      <c r="Q22" s="14">
        <f t="shared" si="4"/>
        <v>1.263888888888889E-2</v>
      </c>
      <c r="R22" s="7">
        <f t="shared" si="5"/>
        <v>15</v>
      </c>
      <c r="S22" s="7">
        <f>VLOOKUP(R22,'Место-баллы'!$A$3:$E$52,2,0)</f>
        <v>57</v>
      </c>
      <c r="T22" s="10"/>
      <c r="U22" s="7">
        <v>12</v>
      </c>
      <c r="V22" s="7">
        <v>5</v>
      </c>
      <c r="W22" s="14">
        <f t="shared" si="6"/>
        <v>8.3912037037037045E-3</v>
      </c>
      <c r="X22" s="7">
        <v>86</v>
      </c>
      <c r="Y22" s="7">
        <f t="shared" si="7"/>
        <v>12</v>
      </c>
      <c r="Z22" s="14">
        <f t="shared" si="8"/>
        <v>8.5300925925925926E-3</v>
      </c>
      <c r="AA22" s="7">
        <f t="shared" si="9"/>
        <v>11</v>
      </c>
      <c r="AB22" s="7">
        <f>VLOOKUP(AA22,'Место-баллы'!$A$3:$E$52,2,0)</f>
        <v>65</v>
      </c>
      <c r="AC22" s="10"/>
      <c r="AD22" s="7"/>
      <c r="AE22" s="7"/>
      <c r="AF22" s="14"/>
      <c r="AG22" s="7"/>
      <c r="AH22" s="7"/>
      <c r="AI22" s="14"/>
      <c r="AJ22" s="7"/>
      <c r="AK22" s="7"/>
      <c r="AL22" s="14"/>
      <c r="AM22" s="7"/>
      <c r="AN22" s="7">
        <v>0</v>
      </c>
    </row>
    <row r="23" spans="2:40" ht="15.75" customHeight="1" x14ac:dyDescent="0.25"/>
    <row r="24" spans="2:40" ht="15.75" customHeight="1" x14ac:dyDescent="0.25"/>
    <row r="25" spans="2:40" ht="15.75" customHeight="1" x14ac:dyDescent="0.25"/>
    <row r="26" spans="2:40" ht="15.75" customHeight="1" x14ac:dyDescent="0.25"/>
    <row r="27" spans="2:40" ht="15.75" customHeight="1" x14ac:dyDescent="0.25"/>
    <row r="28" spans="2:40" ht="15.75" customHeight="1" x14ac:dyDescent="0.25"/>
    <row r="29" spans="2:40" ht="15.75" customHeight="1" x14ac:dyDescent="0.25"/>
    <row r="30" spans="2:40" ht="15.75" customHeight="1" x14ac:dyDescent="0.25"/>
    <row r="31" spans="2:40" ht="15.75" customHeight="1" x14ac:dyDescent="0.25"/>
    <row r="32" spans="2:4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</sheetData>
  <autoFilter ref="B7:AN7" xr:uid="{FAA4A5E0-5E86-463E-9916-75AFB0B6CF7D}">
    <sortState xmlns:xlrd2="http://schemas.microsoft.com/office/spreadsheetml/2017/richdata2" ref="B8:AN22">
      <sortCondition ref="B7"/>
    </sortState>
  </autoFilter>
  <mergeCells count="6">
    <mergeCell ref="AD5:AN6"/>
    <mergeCell ref="B5:C6"/>
    <mergeCell ref="E5:F6"/>
    <mergeCell ref="H5:J6"/>
    <mergeCell ref="L5:S6"/>
    <mergeCell ref="U5:AB6"/>
  </mergeCells>
  <printOptions horizontalCentered="1" verticalCentered="1"/>
  <pageMargins left="0" right="0" top="0" bottom="0" header="0" footer="0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68FA8-8B37-40A5-B947-E5A45A864680}">
  <sheetPr>
    <pageSetUpPr fitToPage="1"/>
  </sheetPr>
  <dimension ref="B1:AN36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R13" sqref="R13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.7109375" bestFit="1" customWidth="1"/>
    <col min="6" max="6" width="20.710937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customWidth="1" collapsed="1"/>
    <col min="15" max="15" width="6.85546875" customWidth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customWidth="1" collapsed="1"/>
    <col min="24" max="24" width="6.85546875" customWidth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9.140625" bestFit="1" customWidth="1" collapsed="1"/>
    <col min="33" max="33" width="5.140625" hidden="1" customWidth="1" outlineLevel="1"/>
    <col min="34" max="34" width="4.28515625" hidden="1" customWidth="1" outlineLevel="1"/>
    <col min="35" max="35" width="7.140625" customWidth="1" collapsed="1"/>
    <col min="36" max="36" width="6.85546875" customWidth="1"/>
    <col min="37" max="37" width="7.85546875" hidden="1" customWidth="1" outlineLevel="1"/>
    <col min="38" max="38" width="7.140625" hidden="1" customWidth="1" outlineLevel="1"/>
    <col min="39" max="39" width="7.140625" customWidth="1" collapsed="1"/>
    <col min="40" max="40" width="6.85546875" customWidth="1"/>
  </cols>
  <sheetData>
    <row r="1" spans="2:40" x14ac:dyDescent="0.25">
      <c r="E1" s="12"/>
      <c r="F1" s="12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U1" s="3"/>
      <c r="V1" s="3"/>
      <c r="W1" s="3"/>
      <c r="X1" s="3"/>
      <c r="Y1" s="3"/>
      <c r="Z1" s="3"/>
      <c r="AA1" s="3"/>
      <c r="AB1" s="4">
        <v>1</v>
      </c>
      <c r="AG1" s="3"/>
      <c r="AH1" s="3"/>
      <c r="AI1" s="3"/>
      <c r="AJ1" s="3"/>
      <c r="AK1" s="3"/>
      <c r="AL1" s="3"/>
      <c r="AM1" s="3"/>
      <c r="AN1" s="4">
        <v>1</v>
      </c>
    </row>
    <row r="2" spans="2:40" x14ac:dyDescent="0.25">
      <c r="E2" s="12"/>
      <c r="F2" s="12"/>
      <c r="H2" s="3"/>
      <c r="I2" s="3"/>
      <c r="J2" s="3"/>
      <c r="L2" s="3"/>
      <c r="M2" s="3"/>
      <c r="N2" s="3"/>
      <c r="O2" s="5">
        <v>790</v>
      </c>
      <c r="P2" s="3"/>
      <c r="Q2" s="3"/>
      <c r="R2" s="3"/>
      <c r="S2" s="3"/>
      <c r="U2" s="3"/>
      <c r="V2" s="3"/>
      <c r="W2" s="3"/>
      <c r="X2" s="5">
        <v>84</v>
      </c>
      <c r="Y2" s="3"/>
      <c r="Z2" s="3"/>
      <c r="AA2" s="3"/>
      <c r="AB2" s="3"/>
      <c r="AG2" s="3"/>
      <c r="AH2" s="3"/>
      <c r="AI2" s="3"/>
      <c r="AJ2" s="5">
        <v>160</v>
      </c>
      <c r="AK2" s="3"/>
      <c r="AL2" s="3"/>
      <c r="AM2" s="3"/>
      <c r="AN2" s="3"/>
    </row>
    <row r="3" spans="2:40" x14ac:dyDescent="0.25">
      <c r="E3" s="12"/>
      <c r="F3" s="12"/>
      <c r="H3" s="6"/>
      <c r="I3" s="3"/>
      <c r="J3" s="3"/>
      <c r="L3" s="3"/>
      <c r="M3" s="3"/>
      <c r="N3" s="3"/>
      <c r="O3" s="6" t="s">
        <v>47</v>
      </c>
      <c r="P3" s="3"/>
      <c r="Q3" s="3"/>
      <c r="R3" s="3"/>
      <c r="S3" s="3"/>
      <c r="U3" s="3"/>
      <c r="V3" s="3"/>
      <c r="W3" s="3"/>
      <c r="X3" s="6" t="s">
        <v>24</v>
      </c>
      <c r="Y3" s="3"/>
      <c r="Z3" s="3"/>
      <c r="AA3" s="3"/>
      <c r="AB3" s="3"/>
      <c r="AG3" s="3"/>
      <c r="AH3" s="3"/>
      <c r="AI3" s="3"/>
      <c r="AJ3" s="6" t="s">
        <v>28</v>
      </c>
      <c r="AK3" s="3"/>
      <c r="AL3" s="3"/>
      <c r="AM3" s="3"/>
      <c r="AN3" s="3"/>
    </row>
    <row r="4" spans="2:40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G4" s="3"/>
      <c r="AH4" s="3"/>
      <c r="AI4" s="3"/>
      <c r="AJ4" s="3"/>
      <c r="AK4" s="3"/>
      <c r="AL4" s="3"/>
      <c r="AM4" s="3"/>
      <c r="AN4" s="3"/>
    </row>
    <row r="5" spans="2:40" ht="15" customHeight="1" x14ac:dyDescent="0.25">
      <c r="B5" s="23" t="s">
        <v>4</v>
      </c>
      <c r="C5" s="24"/>
      <c r="D5" s="7"/>
      <c r="E5" s="25" t="s">
        <v>41</v>
      </c>
      <c r="F5" s="26"/>
      <c r="G5" s="7"/>
      <c r="H5" s="25" t="s">
        <v>22</v>
      </c>
      <c r="I5" s="29"/>
      <c r="J5" s="26"/>
      <c r="K5" s="7"/>
      <c r="L5" s="23" t="s">
        <v>23</v>
      </c>
      <c r="M5" s="24"/>
      <c r="N5" s="24"/>
      <c r="O5" s="24"/>
      <c r="P5" s="24"/>
      <c r="Q5" s="24"/>
      <c r="R5" s="24"/>
      <c r="S5" s="24"/>
      <c r="T5" s="7"/>
      <c r="U5" s="23" t="s">
        <v>5</v>
      </c>
      <c r="V5" s="24"/>
      <c r="W5" s="24"/>
      <c r="X5" s="24"/>
      <c r="Y5" s="24"/>
      <c r="Z5" s="24"/>
      <c r="AA5" s="24"/>
      <c r="AB5" s="24"/>
      <c r="AC5" s="7"/>
      <c r="AD5" s="25" t="s">
        <v>6</v>
      </c>
      <c r="AE5" s="29"/>
      <c r="AF5" s="29"/>
      <c r="AG5" s="29"/>
      <c r="AH5" s="29"/>
      <c r="AI5" s="29"/>
      <c r="AJ5" s="29"/>
      <c r="AK5" s="29"/>
      <c r="AL5" s="29"/>
      <c r="AM5" s="29"/>
      <c r="AN5" s="26"/>
    </row>
    <row r="6" spans="2:40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4"/>
      <c r="M6" s="24"/>
      <c r="N6" s="24"/>
      <c r="O6" s="24"/>
      <c r="P6" s="24"/>
      <c r="Q6" s="24"/>
      <c r="R6" s="24"/>
      <c r="S6" s="24"/>
      <c r="T6" s="8"/>
      <c r="U6" s="24"/>
      <c r="V6" s="24"/>
      <c r="W6" s="24"/>
      <c r="X6" s="24"/>
      <c r="Y6" s="24"/>
      <c r="Z6" s="24"/>
      <c r="AA6" s="24"/>
      <c r="AB6" s="24"/>
      <c r="AC6" s="8"/>
      <c r="AD6" s="27"/>
      <c r="AE6" s="30"/>
      <c r="AF6" s="30"/>
      <c r="AG6" s="30"/>
      <c r="AH6" s="30"/>
      <c r="AI6" s="30"/>
      <c r="AJ6" s="30"/>
      <c r="AK6" s="30"/>
      <c r="AL6" s="30"/>
      <c r="AM6" s="30"/>
      <c r="AN6" s="28"/>
    </row>
    <row r="7" spans="2:40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8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27</v>
      </c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</row>
    <row r="8" spans="2:40" x14ac:dyDescent="0.25">
      <c r="B8" s="7">
        <f>RANK(C8,C$8:C$8,0)</f>
        <v>1</v>
      </c>
      <c r="C8" s="7">
        <f>SUMIF($H$1:$AN$1,1,$H8:$AN8)</f>
        <v>400</v>
      </c>
      <c r="D8" s="10"/>
      <c r="E8" s="13" t="s">
        <v>145</v>
      </c>
      <c r="F8" s="13"/>
      <c r="G8" s="10"/>
      <c r="H8" s="7">
        <v>35</v>
      </c>
      <c r="I8" s="7">
        <f>RANK(H8,H$8:H$8,0)</f>
        <v>1</v>
      </c>
      <c r="J8" s="7">
        <f>VLOOKUP(I8,'Место-баллы'!$A$3:$E$52,2,0)</f>
        <v>100</v>
      </c>
      <c r="K8" s="10"/>
      <c r="L8" s="7">
        <v>8</v>
      </c>
      <c r="M8" s="7">
        <v>5</v>
      </c>
      <c r="N8" s="14">
        <f t="shared" ref="N8" si="0">TIME(0,L8,M8)</f>
        <v>5.6134259259259271E-3</v>
      </c>
      <c r="O8" s="7">
        <v>423</v>
      </c>
      <c r="P8" s="7">
        <f t="shared" ref="P8" si="1">O$2-O8</f>
        <v>367</v>
      </c>
      <c r="Q8" s="14">
        <f t="shared" ref="Q8" si="2">N8+TIME(0,0,P8)</f>
        <v>9.8611111111111122E-3</v>
      </c>
      <c r="R8" s="7">
        <f>RANK(Q8,Q$8:Q$8,1)</f>
        <v>1</v>
      </c>
      <c r="S8" s="7">
        <f>VLOOKUP(R8,'Место-баллы'!$A$3:$E$52,2,0)</f>
        <v>100</v>
      </c>
      <c r="T8" s="10"/>
      <c r="U8" s="7">
        <v>10</v>
      </c>
      <c r="V8" s="7">
        <v>56</v>
      </c>
      <c r="W8" s="14">
        <f t="shared" ref="W8" si="3">TIME(0,U8,V8)</f>
        <v>7.5925925925925926E-3</v>
      </c>
      <c r="X8" s="7">
        <v>84</v>
      </c>
      <c r="Y8" s="7">
        <f t="shared" ref="Y8" si="4">X$2-X8</f>
        <v>0</v>
      </c>
      <c r="Z8" s="14">
        <f t="shared" ref="Z8" si="5">W8+TIME(0,0,Y8)</f>
        <v>7.5925925925925926E-3</v>
      </c>
      <c r="AA8" s="7">
        <f>RANK(Z8,Z$8:Z$8,1)</f>
        <v>1</v>
      </c>
      <c r="AB8" s="7">
        <f>VLOOKUP(AA8,'Место-баллы'!$A$3:$E$52,2,0)</f>
        <v>100</v>
      </c>
      <c r="AC8" s="10"/>
      <c r="AD8" s="7">
        <v>3</v>
      </c>
      <c r="AE8" s="7">
        <v>21</v>
      </c>
      <c r="AF8" s="14">
        <f t="shared" ref="AF8" si="6">TIME(0,AD8,AE8)</f>
        <v>2.3263888888888887E-3</v>
      </c>
      <c r="AG8" s="7">
        <v>7</v>
      </c>
      <c r="AH8" s="7">
        <v>5</v>
      </c>
      <c r="AI8" s="14">
        <f t="shared" ref="AI8" si="7">TIME(0,AG8,AH8)</f>
        <v>4.9189814814814816E-3</v>
      </c>
      <c r="AJ8" s="7">
        <f>40+49</f>
        <v>89</v>
      </c>
      <c r="AK8" s="7">
        <f t="shared" ref="AK8" si="8">AJ$2-AJ8</f>
        <v>71</v>
      </c>
      <c r="AL8" s="14">
        <f t="shared" ref="AL8" si="9">AI8+TIME(0,0,AK8)</f>
        <v>5.7407407407407407E-3</v>
      </c>
      <c r="AM8" s="7">
        <f>RANK(AL8,AL$8:AL$8,1)</f>
        <v>1</v>
      </c>
      <c r="AN8" s="7">
        <f>VLOOKUP(AM8,'Место-баллы'!$A$3:$E$52,2,0)</f>
        <v>100</v>
      </c>
    </row>
    <row r="9" spans="2:40" ht="15.75" customHeight="1" x14ac:dyDescent="0.25"/>
    <row r="10" spans="2:40" ht="15.75" customHeight="1" x14ac:dyDescent="0.25"/>
    <row r="11" spans="2:40" ht="15.75" customHeight="1" x14ac:dyDescent="0.25"/>
    <row r="12" spans="2:40" ht="15.75" customHeight="1" x14ac:dyDescent="0.25"/>
    <row r="13" spans="2:40" ht="15.75" customHeight="1" x14ac:dyDescent="0.25"/>
    <row r="14" spans="2:40" ht="15.75" customHeight="1" x14ac:dyDescent="0.25"/>
    <row r="15" spans="2:40" ht="15.75" customHeight="1" x14ac:dyDescent="0.25"/>
    <row r="16" spans="2:4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</sheetData>
  <autoFilter ref="B7:AN7" xr:uid="{11368FA8-8B37-40A5-B947-E5A45A864680}"/>
  <mergeCells count="6">
    <mergeCell ref="AD5:AN6"/>
    <mergeCell ref="B5:C6"/>
    <mergeCell ref="E5:F6"/>
    <mergeCell ref="H5:J6"/>
    <mergeCell ref="L5:S6"/>
    <mergeCell ref="U5:AB6"/>
  </mergeCells>
  <printOptions horizontalCentered="1" verticalCentered="1"/>
  <pageMargins left="0" right="0" top="0" bottom="0" header="0" footer="0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D463-AD73-498C-8F58-72E9ED4B4166}">
  <sheetPr>
    <pageSetUpPr fitToPage="1"/>
  </sheetPr>
  <dimension ref="B1:AN37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12" sqref="G12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5.7109375" bestFit="1" customWidth="1"/>
    <col min="6" max="6" width="20.710937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5.140625" customWidth="1" outlineLevel="1"/>
    <col min="13" max="13" width="4.28515625" customWidth="1" outlineLevel="1"/>
    <col min="14" max="14" width="7.140625" customWidth="1"/>
    <col min="15" max="15" width="6.85546875" customWidth="1"/>
    <col min="16" max="16" width="7.85546875" customWidth="1" outlineLevel="1"/>
    <col min="17" max="17" width="7.140625" customWidth="1" outlineLevel="1"/>
    <col min="18" max="18" width="7.140625" customWidth="1"/>
    <col min="19" max="19" width="6.85546875" customWidth="1"/>
    <col min="20" max="20" width="1.42578125" customWidth="1"/>
    <col min="21" max="21" width="5.140625" customWidth="1" outlineLevel="1"/>
    <col min="22" max="22" width="4.28515625" customWidth="1" outlineLevel="1"/>
    <col min="23" max="23" width="7.140625" customWidth="1"/>
    <col min="24" max="24" width="6.85546875" customWidth="1"/>
    <col min="25" max="25" width="7.85546875" customWidth="1" outlineLevel="1"/>
    <col min="26" max="26" width="7.140625" customWidth="1" outlineLevel="1"/>
    <col min="27" max="27" width="7.140625" customWidth="1"/>
    <col min="28" max="28" width="6.85546875" customWidth="1"/>
    <col min="29" max="29" width="1.42578125" customWidth="1"/>
    <col min="30" max="30" width="5.140625" customWidth="1" outlineLevel="1"/>
    <col min="31" max="31" width="4.28515625" customWidth="1" outlineLevel="1"/>
    <col min="32" max="32" width="9.140625" bestFit="1" customWidth="1"/>
    <col min="33" max="33" width="5.140625" customWidth="1" outlineLevel="1"/>
    <col min="34" max="34" width="4.28515625" customWidth="1" outlineLevel="1"/>
    <col min="35" max="35" width="7.140625" customWidth="1"/>
    <col min="36" max="36" width="6.85546875" customWidth="1"/>
    <col min="37" max="37" width="7.85546875" customWidth="1" outlineLevel="1"/>
    <col min="38" max="38" width="7.140625" customWidth="1" outlineLevel="1"/>
    <col min="39" max="39" width="7.140625" customWidth="1"/>
    <col min="40" max="40" width="6.85546875" customWidth="1"/>
  </cols>
  <sheetData>
    <row r="1" spans="2:40" x14ac:dyDescent="0.25">
      <c r="E1" s="12"/>
      <c r="F1" s="12"/>
      <c r="H1" s="3"/>
      <c r="I1" s="3"/>
      <c r="J1" s="4">
        <v>0</v>
      </c>
      <c r="L1" s="3"/>
      <c r="M1" s="3"/>
      <c r="N1" s="3"/>
      <c r="O1" s="3"/>
      <c r="P1" s="3"/>
      <c r="Q1" s="3"/>
      <c r="R1" s="3"/>
      <c r="S1" s="4">
        <v>0</v>
      </c>
      <c r="U1" s="3"/>
      <c r="V1" s="3"/>
      <c r="W1" s="3"/>
      <c r="X1" s="3"/>
      <c r="Y1" s="3"/>
      <c r="Z1" s="3"/>
      <c r="AA1" s="3"/>
      <c r="AB1" s="4">
        <v>0</v>
      </c>
      <c r="AG1" s="3"/>
      <c r="AH1" s="3"/>
      <c r="AI1" s="3"/>
      <c r="AJ1" s="3"/>
      <c r="AK1" s="3"/>
      <c r="AL1" s="3"/>
      <c r="AM1" s="3"/>
      <c r="AN1" s="4">
        <v>0</v>
      </c>
    </row>
    <row r="2" spans="2:40" x14ac:dyDescent="0.25">
      <c r="E2" s="12"/>
      <c r="F2" s="12"/>
      <c r="H2" s="3"/>
      <c r="I2" s="3"/>
      <c r="J2" s="3"/>
      <c r="L2" s="3"/>
      <c r="M2" s="3"/>
      <c r="N2" s="3"/>
      <c r="O2" s="5">
        <v>1090</v>
      </c>
      <c r="P2" s="3"/>
      <c r="Q2" s="3"/>
      <c r="R2" s="3"/>
      <c r="S2" s="3"/>
      <c r="U2" s="3"/>
      <c r="V2" s="3"/>
      <c r="W2" s="3"/>
      <c r="X2" s="5">
        <v>84</v>
      </c>
      <c r="Y2" s="3"/>
      <c r="Z2" s="3"/>
      <c r="AA2" s="3"/>
      <c r="AB2" s="3"/>
      <c r="AG2" s="3"/>
      <c r="AH2" s="3"/>
      <c r="AI2" s="3"/>
      <c r="AJ2" s="5">
        <v>170</v>
      </c>
      <c r="AK2" s="3"/>
      <c r="AL2" s="3"/>
      <c r="AM2" s="3"/>
      <c r="AN2" s="3"/>
    </row>
    <row r="3" spans="2:40" x14ac:dyDescent="0.25">
      <c r="E3" s="12"/>
      <c r="F3" s="12"/>
      <c r="H3" s="6"/>
      <c r="I3" s="3"/>
      <c r="J3" s="3"/>
      <c r="L3" s="3"/>
      <c r="M3" s="3"/>
      <c r="N3" s="3"/>
      <c r="O3" s="6" t="s">
        <v>47</v>
      </c>
      <c r="P3" s="3"/>
      <c r="Q3" s="3"/>
      <c r="R3" s="3"/>
      <c r="S3" s="3"/>
      <c r="U3" s="3"/>
      <c r="V3" s="3"/>
      <c r="W3" s="3"/>
      <c r="X3" s="6" t="s">
        <v>24</v>
      </c>
      <c r="Y3" s="3"/>
      <c r="Z3" s="3"/>
      <c r="AA3" s="3"/>
      <c r="AB3" s="3"/>
      <c r="AG3" s="3"/>
      <c r="AH3" s="3"/>
      <c r="AI3" s="3"/>
      <c r="AJ3" s="6" t="s">
        <v>28</v>
      </c>
      <c r="AK3" s="3"/>
      <c r="AL3" s="3"/>
      <c r="AM3" s="3"/>
      <c r="AN3" s="3"/>
    </row>
    <row r="4" spans="2:40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G4" s="3"/>
      <c r="AH4" s="3"/>
      <c r="AI4" s="3"/>
      <c r="AJ4" s="3"/>
      <c r="AK4" s="3"/>
      <c r="AL4" s="3"/>
      <c r="AM4" s="3"/>
      <c r="AN4" s="3"/>
    </row>
    <row r="5" spans="2:40" ht="15" customHeight="1" x14ac:dyDescent="0.25">
      <c r="B5" s="23" t="s">
        <v>4</v>
      </c>
      <c r="C5" s="24"/>
      <c r="D5" s="7"/>
      <c r="E5" s="25" t="s">
        <v>42</v>
      </c>
      <c r="F5" s="26"/>
      <c r="G5" s="7"/>
      <c r="H5" s="25" t="s">
        <v>22</v>
      </c>
      <c r="I5" s="29"/>
      <c r="J5" s="26"/>
      <c r="K5" s="7"/>
      <c r="L5" s="23" t="s">
        <v>23</v>
      </c>
      <c r="M5" s="24"/>
      <c r="N5" s="24"/>
      <c r="O5" s="24"/>
      <c r="P5" s="24"/>
      <c r="Q5" s="24"/>
      <c r="R5" s="24"/>
      <c r="S5" s="24"/>
      <c r="T5" s="7"/>
      <c r="U5" s="23" t="s">
        <v>5</v>
      </c>
      <c r="V5" s="24"/>
      <c r="W5" s="24"/>
      <c r="X5" s="24"/>
      <c r="Y5" s="24"/>
      <c r="Z5" s="24"/>
      <c r="AA5" s="24"/>
      <c r="AB5" s="24"/>
      <c r="AC5" s="7"/>
      <c r="AD5" s="25" t="s">
        <v>6</v>
      </c>
      <c r="AE5" s="29"/>
      <c r="AF5" s="29"/>
      <c r="AG5" s="29"/>
      <c r="AH5" s="29"/>
      <c r="AI5" s="29"/>
      <c r="AJ5" s="29"/>
      <c r="AK5" s="29"/>
      <c r="AL5" s="29"/>
      <c r="AM5" s="29"/>
      <c r="AN5" s="26"/>
    </row>
    <row r="6" spans="2:40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4"/>
      <c r="M6" s="24"/>
      <c r="N6" s="24"/>
      <c r="O6" s="24"/>
      <c r="P6" s="24"/>
      <c r="Q6" s="24"/>
      <c r="R6" s="24"/>
      <c r="S6" s="24"/>
      <c r="T6" s="8"/>
      <c r="U6" s="24"/>
      <c r="V6" s="24"/>
      <c r="W6" s="24"/>
      <c r="X6" s="24"/>
      <c r="Y6" s="24"/>
      <c r="Z6" s="24"/>
      <c r="AA6" s="24"/>
      <c r="AB6" s="24"/>
      <c r="AC6" s="8"/>
      <c r="AD6" s="27"/>
      <c r="AE6" s="30"/>
      <c r="AF6" s="30"/>
      <c r="AG6" s="30"/>
      <c r="AH6" s="30"/>
      <c r="AI6" s="30"/>
      <c r="AJ6" s="30"/>
      <c r="AK6" s="30"/>
      <c r="AL6" s="30"/>
      <c r="AM6" s="30"/>
      <c r="AN6" s="28"/>
    </row>
    <row r="7" spans="2:40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8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27</v>
      </c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</row>
    <row r="8" spans="2:40" x14ac:dyDescent="0.25">
      <c r="B8" s="7">
        <f>RANK(C8,C$8:C$8,0)</f>
        <v>1</v>
      </c>
      <c r="C8" s="7">
        <f>SUMIF($H$1:$AN$1,1,$H8:$AN8)</f>
        <v>0</v>
      </c>
      <c r="D8" s="10"/>
      <c r="E8" s="13" t="s">
        <v>209</v>
      </c>
      <c r="F8" s="13" t="s">
        <v>98</v>
      </c>
      <c r="G8" s="10"/>
      <c r="H8" s="7"/>
      <c r="I8" s="7" t="e">
        <f>RANK(H8,H$8:H$8,0)</f>
        <v>#N/A</v>
      </c>
      <c r="J8" s="7" t="e">
        <f>VLOOKUP(I8,'Место-баллы'!$A$3:$E$52,2,0)</f>
        <v>#N/A</v>
      </c>
      <c r="K8" s="10"/>
      <c r="L8" s="7"/>
      <c r="M8" s="7"/>
      <c r="N8" s="14">
        <f t="shared" ref="N8" si="0">TIME(0,L8,M8)</f>
        <v>0</v>
      </c>
      <c r="O8" s="7"/>
      <c r="P8" s="7">
        <f t="shared" ref="P8" si="1">O$2-O8</f>
        <v>1090</v>
      </c>
      <c r="Q8" s="14">
        <f t="shared" ref="Q8" si="2">N8+TIME(0,0,P8)</f>
        <v>1.2615740740740742E-2</v>
      </c>
      <c r="R8" s="7">
        <f>RANK(Q8,Q$8:Q$8,1)</f>
        <v>1</v>
      </c>
      <c r="S8" s="7">
        <f>VLOOKUP(R8,'Место-баллы'!$A$3:$E$52,2,0)</f>
        <v>100</v>
      </c>
      <c r="T8" s="10"/>
      <c r="U8" s="7"/>
      <c r="V8" s="7"/>
      <c r="W8" s="14">
        <f t="shared" ref="W8" si="3">TIME(0,U8,V8)</f>
        <v>0</v>
      </c>
      <c r="X8" s="7"/>
      <c r="Y8" s="7">
        <f t="shared" ref="Y8" si="4">X$2-X8</f>
        <v>84</v>
      </c>
      <c r="Z8" s="14">
        <f t="shared" ref="Z8" si="5">W8+TIME(0,0,Y8)</f>
        <v>9.7222222222222209E-4</v>
      </c>
      <c r="AA8" s="7">
        <f>RANK(Z8,Z$8:Z$8,1)</f>
        <v>1</v>
      </c>
      <c r="AB8" s="7">
        <f>VLOOKUP(AA8,'Место-баллы'!$A$3:$E$52,2,0)</f>
        <v>100</v>
      </c>
      <c r="AC8" s="10"/>
      <c r="AD8" s="7"/>
      <c r="AE8" s="7"/>
      <c r="AF8" s="14">
        <f t="shared" ref="AF8" si="6">TIME(0,AD8,AE8)</f>
        <v>0</v>
      </c>
      <c r="AG8" s="7"/>
      <c r="AH8" s="7"/>
      <c r="AI8" s="14">
        <f t="shared" ref="AI8" si="7">TIME(0,AG8,AH8)</f>
        <v>0</v>
      </c>
      <c r="AJ8" s="7"/>
      <c r="AK8" s="7">
        <f t="shared" ref="AK8" si="8">AJ$2-AJ8</f>
        <v>170</v>
      </c>
      <c r="AL8" s="14">
        <f t="shared" ref="AL8" si="9">AI8+TIME(0,0,AK8)</f>
        <v>1.9675925925925928E-3</v>
      </c>
      <c r="AM8" s="7">
        <f>RANK(AL8,AL$8:AL$8,1)</f>
        <v>1</v>
      </c>
      <c r="AN8" s="7">
        <f>VLOOKUP(AM8,'Место-баллы'!$A$3:$E$52,2,0)</f>
        <v>100</v>
      </c>
    </row>
    <row r="9" spans="2:40" ht="15.75" customHeight="1" x14ac:dyDescent="0.25"/>
    <row r="10" spans="2:40" ht="15.75" customHeight="1" x14ac:dyDescent="0.25"/>
    <row r="11" spans="2:40" ht="15.75" customHeight="1" x14ac:dyDescent="0.25"/>
    <row r="12" spans="2:40" ht="15.75" customHeight="1" x14ac:dyDescent="0.25"/>
    <row r="13" spans="2:40" ht="15.75" customHeight="1" x14ac:dyDescent="0.25"/>
    <row r="14" spans="2:40" ht="15.75" customHeight="1" x14ac:dyDescent="0.25"/>
    <row r="15" spans="2:40" ht="15.75" customHeight="1" x14ac:dyDescent="0.25"/>
    <row r="16" spans="2:4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</sheetData>
  <autoFilter ref="B7:AN7" xr:uid="{E8CFD463-AD73-498C-8F58-72E9ED4B4166}"/>
  <mergeCells count="6">
    <mergeCell ref="AD5:AN6"/>
    <mergeCell ref="B5:C6"/>
    <mergeCell ref="E5:F6"/>
    <mergeCell ref="H5:J6"/>
    <mergeCell ref="L5:S6"/>
    <mergeCell ref="U5:AB6"/>
  </mergeCells>
  <printOptions horizontalCentered="1" verticalCentered="1"/>
  <pageMargins left="0" right="0" top="0" bottom="0" header="0" footer="0"/>
  <pageSetup paperSize="9"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70D12-7DA1-438A-9BA2-EF09F2740E70}">
  <sheetPr>
    <pageSetUpPr fitToPage="1"/>
  </sheetPr>
  <dimension ref="B1:AR34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2" sqref="E2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2.42578125" bestFit="1" customWidth="1"/>
    <col min="6" max="6" width="23.2851562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7.42578125" customWidth="1"/>
    <col min="13" max="13" width="7.140625" customWidth="1"/>
    <col min="14" max="14" width="6.85546875" customWidth="1"/>
    <col min="15" max="15" width="1.42578125" customWidth="1"/>
    <col min="16" max="16" width="5.140625" hidden="1" customWidth="1" outlineLevel="1"/>
    <col min="17" max="17" width="4.28515625" hidden="1" customWidth="1" outlineLevel="1"/>
    <col min="18" max="18" width="7.140625" customWidth="1" collapsed="1"/>
    <col min="19" max="19" width="6.85546875" customWidth="1"/>
    <col min="20" max="20" width="7.85546875" hidden="1" customWidth="1" outlineLevel="1"/>
    <col min="21" max="21" width="7.140625" hidden="1" customWidth="1" outlineLevel="1"/>
    <col min="22" max="22" width="7.140625" customWidth="1" collapsed="1"/>
    <col min="23" max="23" width="6.85546875" customWidth="1"/>
    <col min="24" max="24" width="1.42578125" customWidth="1"/>
    <col min="25" max="25" width="5.140625" hidden="1" customWidth="1" outlineLevel="1"/>
    <col min="26" max="26" width="4.28515625" hidden="1" customWidth="1" outlineLevel="1"/>
    <col min="27" max="27" width="9.140625" bestFit="1" customWidth="1" collapsed="1"/>
    <col min="28" max="28" width="5.140625" hidden="1" customWidth="1" outlineLevel="1"/>
    <col min="29" max="29" width="4.28515625" hidden="1" customWidth="1" outlineLevel="1"/>
    <col min="30" max="30" width="7.140625" customWidth="1" collapsed="1"/>
    <col min="31" max="31" width="6.85546875" customWidth="1"/>
    <col min="32" max="32" width="7.85546875" hidden="1" customWidth="1" outlineLevel="1"/>
    <col min="33" max="33" width="7.140625" hidden="1" customWidth="1" outlineLevel="1"/>
    <col min="34" max="34" width="7.140625" customWidth="1" collapsed="1"/>
    <col min="35" max="35" width="6.85546875" customWidth="1"/>
    <col min="36" max="36" width="1.42578125" customWidth="1"/>
    <col min="37" max="37" width="5.140625" hidden="1" customWidth="1" outlineLevel="1"/>
    <col min="38" max="38" width="4.28515625" hidden="1" customWidth="1" outlineLevel="1"/>
    <col min="39" max="39" width="7.140625" customWidth="1" collapsed="1"/>
    <col min="40" max="40" width="6.85546875" customWidth="1"/>
    <col min="41" max="41" width="7.85546875" hidden="1" customWidth="1" outlineLevel="1"/>
    <col min="42" max="42" width="7.140625" hidden="1" customWidth="1" outlineLevel="1"/>
    <col min="43" max="43" width="7.140625" customWidth="1" collapsed="1"/>
    <col min="44" max="44" width="6.85546875" customWidth="1"/>
  </cols>
  <sheetData>
    <row r="1" spans="2:44" x14ac:dyDescent="0.25">
      <c r="E1" s="12"/>
      <c r="F1" s="12"/>
      <c r="H1" s="3"/>
      <c r="I1" s="3"/>
      <c r="J1" s="4">
        <v>1</v>
      </c>
      <c r="L1" s="3"/>
      <c r="M1" s="3"/>
      <c r="N1" s="4">
        <v>1</v>
      </c>
      <c r="P1" s="3"/>
      <c r="Q1" s="3"/>
      <c r="R1" s="3"/>
      <c r="S1" s="3"/>
      <c r="T1" s="3"/>
      <c r="U1" s="3"/>
      <c r="V1" s="3"/>
      <c r="W1" s="4">
        <v>1</v>
      </c>
      <c r="AB1" s="3"/>
      <c r="AC1" s="3"/>
      <c r="AD1" s="3"/>
      <c r="AE1" s="3"/>
      <c r="AF1" s="3"/>
      <c r="AG1" s="3"/>
      <c r="AH1" s="3"/>
      <c r="AI1" s="4">
        <v>1</v>
      </c>
      <c r="AK1" s="3"/>
      <c r="AL1" s="3"/>
      <c r="AM1" s="3"/>
      <c r="AN1" s="3"/>
      <c r="AO1" s="3"/>
      <c r="AP1" s="3"/>
      <c r="AQ1" s="3"/>
      <c r="AR1" s="4">
        <v>1</v>
      </c>
    </row>
    <row r="2" spans="2:44" x14ac:dyDescent="0.25">
      <c r="E2" s="12"/>
      <c r="F2" s="12"/>
      <c r="H2" s="3"/>
      <c r="I2" s="3"/>
      <c r="J2" s="3"/>
      <c r="L2" s="3"/>
      <c r="M2" s="3"/>
      <c r="N2" s="3"/>
      <c r="P2" s="3"/>
      <c r="Q2" s="3"/>
      <c r="R2" s="3"/>
      <c r="S2" s="5">
        <v>135</v>
      </c>
      <c r="T2" s="3"/>
      <c r="U2" s="3"/>
      <c r="V2" s="3"/>
      <c r="W2" s="3"/>
      <c r="AB2" s="3"/>
      <c r="AC2" s="3"/>
      <c r="AD2" s="3"/>
      <c r="AE2" s="5">
        <v>400</v>
      </c>
      <c r="AF2" s="3"/>
      <c r="AG2" s="3"/>
      <c r="AH2" s="3"/>
      <c r="AI2" s="3"/>
      <c r="AK2" s="3"/>
      <c r="AL2" s="3"/>
      <c r="AM2" s="3"/>
      <c r="AN2" s="5">
        <v>160</v>
      </c>
      <c r="AO2" s="3"/>
      <c r="AP2" s="3"/>
      <c r="AQ2" s="3"/>
      <c r="AR2" s="3"/>
    </row>
    <row r="3" spans="2:44" x14ac:dyDescent="0.25">
      <c r="E3" s="12"/>
      <c r="F3" s="12"/>
      <c r="H3" s="6"/>
      <c r="I3" s="3"/>
      <c r="J3" s="3"/>
      <c r="L3" s="6"/>
      <c r="M3" s="3"/>
      <c r="N3" s="3"/>
      <c r="P3" s="3"/>
      <c r="Q3" s="3"/>
      <c r="R3" s="3"/>
      <c r="S3" s="6" t="s">
        <v>47</v>
      </c>
      <c r="T3" s="3"/>
      <c r="U3" s="3"/>
      <c r="V3" s="3"/>
      <c r="W3" s="3"/>
      <c r="AB3" s="3"/>
      <c r="AC3" s="3"/>
      <c r="AD3" s="3"/>
      <c r="AE3" s="6" t="s">
        <v>24</v>
      </c>
      <c r="AF3" s="3"/>
      <c r="AG3" s="3"/>
      <c r="AH3" s="3"/>
      <c r="AI3" s="3"/>
      <c r="AK3" s="3"/>
      <c r="AL3" s="3"/>
      <c r="AM3" s="3"/>
      <c r="AN3" s="6" t="s">
        <v>47</v>
      </c>
      <c r="AO3" s="3"/>
      <c r="AP3" s="3"/>
      <c r="AQ3" s="3"/>
      <c r="AR3" s="3"/>
    </row>
    <row r="4" spans="2:44" x14ac:dyDescent="0.25">
      <c r="H4" s="3"/>
      <c r="I4" s="3"/>
      <c r="J4" s="3"/>
      <c r="L4" s="3"/>
      <c r="M4" s="3"/>
      <c r="N4" s="3"/>
      <c r="P4" s="3"/>
      <c r="Q4" s="3"/>
      <c r="R4" s="3"/>
      <c r="S4" s="3"/>
      <c r="T4" s="3"/>
      <c r="U4" s="3"/>
      <c r="V4" s="3"/>
      <c r="W4" s="3"/>
      <c r="AB4" s="3"/>
      <c r="AC4" s="3"/>
      <c r="AD4" s="3"/>
      <c r="AE4" s="3"/>
      <c r="AF4" s="3"/>
      <c r="AG4" s="3"/>
      <c r="AH4" s="3"/>
      <c r="AI4" s="3"/>
      <c r="AK4" s="3"/>
      <c r="AL4" s="3"/>
      <c r="AM4" s="3"/>
      <c r="AN4" s="3"/>
      <c r="AO4" s="3"/>
      <c r="AP4" s="3"/>
      <c r="AQ4" s="3"/>
      <c r="AR4" s="3"/>
    </row>
    <row r="5" spans="2:44" ht="15" customHeight="1" x14ac:dyDescent="0.25">
      <c r="B5" s="23" t="s">
        <v>4</v>
      </c>
      <c r="C5" s="24"/>
      <c r="D5" s="7"/>
      <c r="E5" s="25" t="s">
        <v>43</v>
      </c>
      <c r="F5" s="26"/>
      <c r="G5" s="7"/>
      <c r="H5" s="25" t="s">
        <v>22</v>
      </c>
      <c r="I5" s="29"/>
      <c r="J5" s="26"/>
      <c r="K5" s="7"/>
      <c r="L5" s="25" t="s">
        <v>23</v>
      </c>
      <c r="M5" s="29"/>
      <c r="N5" s="26"/>
      <c r="O5" s="7"/>
      <c r="P5" s="23" t="s">
        <v>45</v>
      </c>
      <c r="Q5" s="24"/>
      <c r="R5" s="24"/>
      <c r="S5" s="24"/>
      <c r="T5" s="24"/>
      <c r="U5" s="24"/>
      <c r="V5" s="24"/>
      <c r="W5" s="24"/>
      <c r="X5" s="7"/>
      <c r="Y5" s="25" t="s">
        <v>5</v>
      </c>
      <c r="Z5" s="29"/>
      <c r="AA5" s="29"/>
      <c r="AB5" s="29"/>
      <c r="AC5" s="29"/>
      <c r="AD5" s="29"/>
      <c r="AE5" s="29"/>
      <c r="AF5" s="29"/>
      <c r="AG5" s="29"/>
      <c r="AH5" s="29"/>
      <c r="AI5" s="26"/>
      <c r="AJ5" s="7"/>
      <c r="AK5" s="23" t="s">
        <v>6</v>
      </c>
      <c r="AL5" s="24"/>
      <c r="AM5" s="24"/>
      <c r="AN5" s="24"/>
      <c r="AO5" s="24"/>
      <c r="AP5" s="24"/>
      <c r="AQ5" s="24"/>
      <c r="AR5" s="24"/>
    </row>
    <row r="6" spans="2:44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7"/>
      <c r="M6" s="30"/>
      <c r="N6" s="28"/>
      <c r="O6" s="8"/>
      <c r="P6" s="24"/>
      <c r="Q6" s="24"/>
      <c r="R6" s="24"/>
      <c r="S6" s="24"/>
      <c r="T6" s="24"/>
      <c r="U6" s="24"/>
      <c r="V6" s="24"/>
      <c r="W6" s="24"/>
      <c r="X6" s="8"/>
      <c r="Y6" s="27"/>
      <c r="Z6" s="30"/>
      <c r="AA6" s="30"/>
      <c r="AB6" s="30"/>
      <c r="AC6" s="30"/>
      <c r="AD6" s="30"/>
      <c r="AE6" s="30"/>
      <c r="AF6" s="30"/>
      <c r="AG6" s="30"/>
      <c r="AH6" s="30"/>
      <c r="AI6" s="28"/>
      <c r="AJ6" s="8"/>
      <c r="AK6" s="24"/>
      <c r="AL6" s="24"/>
      <c r="AM6" s="24"/>
      <c r="AN6" s="24"/>
      <c r="AO6" s="24"/>
      <c r="AP6" s="24"/>
      <c r="AQ6" s="24"/>
      <c r="AR6" s="24"/>
    </row>
    <row r="7" spans="2:44" ht="25.5" x14ac:dyDescent="0.25">
      <c r="B7" s="18" t="s">
        <v>8</v>
      </c>
      <c r="C7" s="18" t="s">
        <v>9</v>
      </c>
      <c r="D7" s="9"/>
      <c r="E7" s="15" t="s">
        <v>44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8" t="s">
        <v>31</v>
      </c>
      <c r="M7" s="11" t="s">
        <v>14</v>
      </c>
      <c r="N7" s="11" t="s">
        <v>15</v>
      </c>
      <c r="O7" s="9"/>
      <c r="P7" s="11" t="s">
        <v>11</v>
      </c>
      <c r="Q7" s="11" t="s">
        <v>12</v>
      </c>
      <c r="R7" s="11" t="s">
        <v>13</v>
      </c>
      <c r="S7" s="18" t="s">
        <v>16</v>
      </c>
      <c r="T7" s="11" t="s">
        <v>17</v>
      </c>
      <c r="U7" s="11" t="s">
        <v>13</v>
      </c>
      <c r="V7" s="11" t="s">
        <v>14</v>
      </c>
      <c r="W7" s="11" t="s">
        <v>15</v>
      </c>
      <c r="X7" s="9"/>
      <c r="Y7" s="11" t="s">
        <v>11</v>
      </c>
      <c r="Z7" s="11" t="s">
        <v>12</v>
      </c>
      <c r="AA7" s="11" t="s">
        <v>27</v>
      </c>
      <c r="AB7" s="11" t="s">
        <v>11</v>
      </c>
      <c r="AC7" s="11" t="s">
        <v>12</v>
      </c>
      <c r="AD7" s="11" t="s">
        <v>13</v>
      </c>
      <c r="AE7" s="18" t="s">
        <v>16</v>
      </c>
      <c r="AF7" s="11" t="s">
        <v>17</v>
      </c>
      <c r="AG7" s="11" t="s">
        <v>13</v>
      </c>
      <c r="AH7" s="11" t="s">
        <v>14</v>
      </c>
      <c r="AI7" s="11" t="s">
        <v>15</v>
      </c>
      <c r="AJ7" s="9"/>
      <c r="AK7" s="11" t="s">
        <v>11</v>
      </c>
      <c r="AL7" s="11" t="s">
        <v>12</v>
      </c>
      <c r="AM7" s="11" t="s">
        <v>13</v>
      </c>
      <c r="AN7" s="18" t="s">
        <v>16</v>
      </c>
      <c r="AO7" s="11" t="s">
        <v>17</v>
      </c>
      <c r="AP7" s="11" t="s">
        <v>13</v>
      </c>
      <c r="AQ7" s="11" t="s">
        <v>14</v>
      </c>
      <c r="AR7" s="11" t="s">
        <v>15</v>
      </c>
    </row>
    <row r="8" spans="2:44" x14ac:dyDescent="0.25">
      <c r="B8" s="7">
        <f>RANK(C8,C$8:C$28,0)</f>
        <v>1</v>
      </c>
      <c r="C8" s="7">
        <f>SUMIF($H$1:$AR$1,1,$H8:$AR8)</f>
        <v>429</v>
      </c>
      <c r="D8" s="10"/>
      <c r="E8" s="16" t="s">
        <v>224</v>
      </c>
      <c r="F8" s="13"/>
      <c r="G8" s="10"/>
      <c r="H8" s="7">
        <v>91</v>
      </c>
      <c r="I8" s="7">
        <f>RANK(H8,H$8:H$28,0)</f>
        <v>1</v>
      </c>
      <c r="J8" s="7">
        <f>VLOOKUP(I8,'Место-баллы'!$A$3:$E$52,2,0)</f>
        <v>100</v>
      </c>
      <c r="K8" s="10"/>
      <c r="L8" s="7">
        <f>7*91</f>
        <v>637</v>
      </c>
      <c r="M8" s="7">
        <f>RANK(L8,L$8:L$28,0)</f>
        <v>14</v>
      </c>
      <c r="N8" s="7">
        <f>VLOOKUP(M8,'Место-баллы'!$A$3:$E$52,2,0)</f>
        <v>59</v>
      </c>
      <c r="O8" s="10"/>
      <c r="P8" s="7">
        <v>7</v>
      </c>
      <c r="Q8" s="32">
        <v>38</v>
      </c>
      <c r="R8" s="14">
        <f>TIME(0,P8,Q8)</f>
        <v>5.3009259259259251E-3</v>
      </c>
      <c r="S8" s="7">
        <v>135</v>
      </c>
      <c r="T8" s="7">
        <f>S$2-S8</f>
        <v>0</v>
      </c>
      <c r="U8" s="14">
        <f>R8+TIME(0,0,T8)</f>
        <v>5.3009259259259251E-3</v>
      </c>
      <c r="V8" s="7">
        <f>RANK(U8,U$8:U$28,1)</f>
        <v>3</v>
      </c>
      <c r="W8" s="7">
        <f>VLOOKUP(V8,'Место-баллы'!$A$3:$E$52,2,0)</f>
        <v>90</v>
      </c>
      <c r="X8" s="10"/>
      <c r="Y8" s="7">
        <v>6</v>
      </c>
      <c r="Z8" s="7">
        <v>58</v>
      </c>
      <c r="AA8" s="14"/>
      <c r="AB8" s="7">
        <v>9</v>
      </c>
      <c r="AC8" s="7">
        <v>5</v>
      </c>
      <c r="AD8" s="14">
        <f>TIME(0,AB8,AC8)</f>
        <v>6.3078703703703708E-3</v>
      </c>
      <c r="AE8" s="7">
        <v>400</v>
      </c>
      <c r="AF8" s="7">
        <f>AE$2-AE8</f>
        <v>0</v>
      </c>
      <c r="AG8" s="14">
        <f>AD8+TIME(0,0,AF8)</f>
        <v>6.3078703703703708E-3</v>
      </c>
      <c r="AH8" s="7">
        <f>RANK(AG8,AG$8:AG$28,1)</f>
        <v>3</v>
      </c>
      <c r="AI8" s="7">
        <f>VLOOKUP(AH8,'Место-баллы'!$A$3:$E$52,2,0)</f>
        <v>90</v>
      </c>
      <c r="AJ8" s="10"/>
      <c r="AK8" s="7">
        <v>6</v>
      </c>
      <c r="AL8" s="7">
        <v>56</v>
      </c>
      <c r="AM8" s="14">
        <f>TIME(0,AK8,AL8)</f>
        <v>4.8148148148148152E-3</v>
      </c>
      <c r="AN8" s="7">
        <v>160</v>
      </c>
      <c r="AO8" s="7">
        <f>AN$2-AN8</f>
        <v>0</v>
      </c>
      <c r="AP8" s="14">
        <f>AM8+TIME(0,0,AO8)</f>
        <v>4.8148148148148152E-3</v>
      </c>
      <c r="AQ8" s="7">
        <f>RANK(AP8,AP$8:AP$28,1)</f>
        <v>3</v>
      </c>
      <c r="AR8" s="7">
        <f>VLOOKUP(AQ8,'Место-баллы'!$A$3:$E$52,2,0)</f>
        <v>90</v>
      </c>
    </row>
    <row r="9" spans="2:44" x14ac:dyDescent="0.25">
      <c r="B9" s="7">
        <f>RANK(C9,C$8:C$28,0)</f>
        <v>2</v>
      </c>
      <c r="C9" s="7">
        <f>SUMIF($H$1:$AR$1,1,$H9:$AR9)</f>
        <v>421</v>
      </c>
      <c r="D9" s="10"/>
      <c r="E9" s="13" t="s">
        <v>107</v>
      </c>
      <c r="F9" s="13" t="s">
        <v>127</v>
      </c>
      <c r="G9" s="10"/>
      <c r="H9" s="7">
        <v>81</v>
      </c>
      <c r="I9" s="7">
        <f>RANK(H9,H$8:H$28,0)</f>
        <v>5</v>
      </c>
      <c r="J9" s="7">
        <f>VLOOKUP(I9,'Место-баллы'!$A$3:$E$52,2,0)</f>
        <v>80</v>
      </c>
      <c r="K9" s="10"/>
      <c r="L9" s="7">
        <f>9*81</f>
        <v>729</v>
      </c>
      <c r="M9" s="7">
        <f>RANK(L9,L$8:L$28,0)</f>
        <v>8</v>
      </c>
      <c r="N9" s="7">
        <f>VLOOKUP(M9,'Место-баллы'!$A$3:$E$52,2,0)</f>
        <v>71</v>
      </c>
      <c r="O9" s="10"/>
      <c r="P9" s="7">
        <v>7</v>
      </c>
      <c r="Q9" s="7">
        <v>38</v>
      </c>
      <c r="R9" s="14">
        <f>TIME(0,P9,Q9)</f>
        <v>5.3009259259259251E-3</v>
      </c>
      <c r="S9" s="7">
        <v>135</v>
      </c>
      <c r="T9" s="7">
        <f>S$2-S9</f>
        <v>0</v>
      </c>
      <c r="U9" s="14">
        <f>R9+TIME(0,0,T9)</f>
        <v>5.3009259259259251E-3</v>
      </c>
      <c r="V9" s="7">
        <f>RANK(U9,U$8:U$28,1)</f>
        <v>3</v>
      </c>
      <c r="W9" s="7">
        <f>VLOOKUP(V9,'Место-баллы'!$A$3:$E$52,2,0)</f>
        <v>90</v>
      </c>
      <c r="X9" s="10"/>
      <c r="Y9" s="7">
        <v>7</v>
      </c>
      <c r="Z9" s="7">
        <v>5</v>
      </c>
      <c r="AA9" s="14"/>
      <c r="AB9" s="7">
        <v>8</v>
      </c>
      <c r="AC9" s="7">
        <v>21</v>
      </c>
      <c r="AD9" s="14">
        <f>TIME(0,AB9,AC9)</f>
        <v>5.7986111111111112E-3</v>
      </c>
      <c r="AE9" s="7">
        <v>400</v>
      </c>
      <c r="AF9" s="7">
        <f>AE$2-AE9</f>
        <v>0</v>
      </c>
      <c r="AG9" s="14">
        <f>AD9+TIME(0,0,AF9)</f>
        <v>5.7986111111111112E-3</v>
      </c>
      <c r="AH9" s="7">
        <f>RANK(AG9,AG$8:AG$28,1)</f>
        <v>1</v>
      </c>
      <c r="AI9" s="7">
        <f>VLOOKUP(AH9,'Место-баллы'!$A$3:$E$52,2,0)</f>
        <v>100</v>
      </c>
      <c r="AJ9" s="10"/>
      <c r="AK9" s="7">
        <v>7</v>
      </c>
      <c r="AL9" s="7">
        <v>28</v>
      </c>
      <c r="AM9" s="14">
        <f>TIME(0,AK9,AL9)</f>
        <v>5.185185185185185E-3</v>
      </c>
      <c r="AN9" s="7">
        <v>160</v>
      </c>
      <c r="AO9" s="7">
        <f>AN$2-AN9</f>
        <v>0</v>
      </c>
      <c r="AP9" s="14">
        <f>AM9+TIME(0,0,AO9)</f>
        <v>5.185185185185185E-3</v>
      </c>
      <c r="AQ9" s="7">
        <f>RANK(AP9,AP$8:AP$28,1)</f>
        <v>5</v>
      </c>
      <c r="AR9" s="7">
        <f>VLOOKUP(AQ9,'Место-баллы'!$A$3:$E$52,2,0)</f>
        <v>80</v>
      </c>
    </row>
    <row r="10" spans="2:44" x14ac:dyDescent="0.25">
      <c r="B10" s="7">
        <f>RANK(C10,C$8:C$28,0)</f>
        <v>3</v>
      </c>
      <c r="C10" s="7">
        <f>SUMIF($H$1:$AR$1,1,$H10:$AR10)</f>
        <v>405</v>
      </c>
      <c r="D10" s="10"/>
      <c r="E10" s="13" t="s">
        <v>122</v>
      </c>
      <c r="F10" s="13" t="s">
        <v>130</v>
      </c>
      <c r="G10" s="10"/>
      <c r="H10" s="7">
        <v>80</v>
      </c>
      <c r="I10" s="7">
        <f>RANK(H10,H$8:H$28,0)</f>
        <v>6</v>
      </c>
      <c r="J10" s="7">
        <f>VLOOKUP(I10,'Место-баллы'!$A$3:$E$52,2,0)</f>
        <v>75</v>
      </c>
      <c r="K10" s="10"/>
      <c r="L10" s="7">
        <f>9*80</f>
        <v>720</v>
      </c>
      <c r="M10" s="7">
        <f>RANK(L10,L$8:L$28,0)</f>
        <v>9</v>
      </c>
      <c r="N10" s="7">
        <f>VLOOKUP(M10,'Место-баллы'!$A$3:$E$52,2,0)</f>
        <v>69</v>
      </c>
      <c r="O10" s="10"/>
      <c r="P10" s="7">
        <v>7</v>
      </c>
      <c r="Q10" s="7">
        <v>17</v>
      </c>
      <c r="R10" s="14">
        <f>TIME(0,P10,Q10)</f>
        <v>5.0578703703703706E-3</v>
      </c>
      <c r="S10" s="7">
        <v>135</v>
      </c>
      <c r="T10" s="7">
        <f>S$2-S10</f>
        <v>0</v>
      </c>
      <c r="U10" s="14">
        <f>R10+TIME(0,0,T10)</f>
        <v>5.0578703703703706E-3</v>
      </c>
      <c r="V10" s="7">
        <f>RANK(U10,U$8:U$28,1)</f>
        <v>2</v>
      </c>
      <c r="W10" s="7">
        <f>VLOOKUP(V10,'Место-баллы'!$A$3:$E$52,2,0)</f>
        <v>95</v>
      </c>
      <c r="X10" s="10"/>
      <c r="Y10" s="7">
        <v>6</v>
      </c>
      <c r="Z10" s="7">
        <v>55</v>
      </c>
      <c r="AA10" s="14"/>
      <c r="AB10" s="7">
        <v>8</v>
      </c>
      <c r="AC10" s="7">
        <v>44</v>
      </c>
      <c r="AD10" s="14">
        <f>TIME(0,AB10,AC10)</f>
        <v>6.0648148148148145E-3</v>
      </c>
      <c r="AE10" s="7">
        <v>400</v>
      </c>
      <c r="AF10" s="7">
        <f>AE$2-AE10</f>
        <v>0</v>
      </c>
      <c r="AG10" s="14">
        <f>AD10+TIME(0,0,AF10)</f>
        <v>6.0648148148148145E-3</v>
      </c>
      <c r="AH10" s="7">
        <f>RANK(AG10,AG$8:AG$28,1)</f>
        <v>2</v>
      </c>
      <c r="AI10" s="7">
        <f>VLOOKUP(AH10,'Место-баллы'!$A$3:$E$52,2,0)</f>
        <v>95</v>
      </c>
      <c r="AJ10" s="10"/>
      <c r="AK10" s="7">
        <v>8</v>
      </c>
      <c r="AL10" s="7">
        <v>5</v>
      </c>
      <c r="AM10" s="14">
        <f>TIME(0,AK10,AL10)</f>
        <v>5.6134259259259271E-3</v>
      </c>
      <c r="AN10" s="7">
        <v>158</v>
      </c>
      <c r="AO10" s="7">
        <f>AN$2-AN10</f>
        <v>2</v>
      </c>
      <c r="AP10" s="14">
        <f>AM10+TIME(0,0,AO10)</f>
        <v>5.6365740740740751E-3</v>
      </c>
      <c r="AQ10" s="7">
        <f>RANK(AP10,AP$8:AP$28,1)</f>
        <v>8</v>
      </c>
      <c r="AR10" s="7">
        <f>VLOOKUP(AQ10,'Место-баллы'!$A$3:$E$52,2,0)</f>
        <v>71</v>
      </c>
    </row>
    <row r="11" spans="2:44" x14ac:dyDescent="0.25">
      <c r="B11" s="7">
        <f>RANK(C11,C$8:C$28,0)</f>
        <v>4</v>
      </c>
      <c r="C11" s="7">
        <f>SUMIF($H$1:$AR$1,1,$H11:$AR11)</f>
        <v>403</v>
      </c>
      <c r="D11" s="10"/>
      <c r="E11" s="13" t="s">
        <v>108</v>
      </c>
      <c r="F11" s="16" t="s">
        <v>132</v>
      </c>
      <c r="G11" s="10"/>
      <c r="H11" s="7">
        <v>83</v>
      </c>
      <c r="I11" s="7">
        <f>RANK(H11,H$8:H$28,0)</f>
        <v>4</v>
      </c>
      <c r="J11" s="7">
        <f>VLOOKUP(I11,'Место-баллы'!$A$3:$E$52,2,0)</f>
        <v>85</v>
      </c>
      <c r="K11" s="10"/>
      <c r="L11" s="7">
        <f>9*83</f>
        <v>747</v>
      </c>
      <c r="M11" s="7">
        <f>RANK(L11,L$8:L$28,0)</f>
        <v>7</v>
      </c>
      <c r="N11" s="7">
        <f>VLOOKUP(M11,'Место-баллы'!$A$3:$E$52,2,0)</f>
        <v>73</v>
      </c>
      <c r="O11" s="10"/>
      <c r="P11" s="7">
        <v>8</v>
      </c>
      <c r="Q11" s="7">
        <v>5</v>
      </c>
      <c r="R11" s="14">
        <f>TIME(0,P11,Q11)</f>
        <v>5.6134259259259271E-3</v>
      </c>
      <c r="S11" s="7">
        <v>110</v>
      </c>
      <c r="T11" s="7">
        <f>S$2-S11</f>
        <v>25</v>
      </c>
      <c r="U11" s="14">
        <f>R11+TIME(0,0,T11)</f>
        <v>5.9027777777777794E-3</v>
      </c>
      <c r="V11" s="7">
        <f>RANK(U11,U$8:U$28,1)</f>
        <v>11</v>
      </c>
      <c r="W11" s="7">
        <f>VLOOKUP(V11,'Место-баллы'!$A$3:$E$52,2,0)</f>
        <v>65</v>
      </c>
      <c r="X11" s="10"/>
      <c r="Y11" s="7">
        <v>7</v>
      </c>
      <c r="Z11" s="7">
        <v>49</v>
      </c>
      <c r="AA11" s="14"/>
      <c r="AB11" s="7">
        <v>9</v>
      </c>
      <c r="AC11" s="7">
        <v>30</v>
      </c>
      <c r="AD11" s="14">
        <f>TIME(0,AB11,AC11)</f>
        <v>6.5972222222222222E-3</v>
      </c>
      <c r="AE11" s="7">
        <v>400</v>
      </c>
      <c r="AF11" s="7">
        <f>AE$2-AE11</f>
        <v>0</v>
      </c>
      <c r="AG11" s="14">
        <f>AD11+TIME(0,0,AF11)</f>
        <v>6.5972222222222222E-3</v>
      </c>
      <c r="AH11" s="7">
        <f>RANK(AG11,AG$8:AG$28,1)</f>
        <v>5</v>
      </c>
      <c r="AI11" s="7">
        <f>VLOOKUP(AH11,'Место-баллы'!$A$3:$E$52,2,0)</f>
        <v>80</v>
      </c>
      <c r="AJ11" s="10"/>
      <c r="AK11" s="7">
        <v>6</v>
      </c>
      <c r="AL11" s="7">
        <v>48</v>
      </c>
      <c r="AM11" s="14">
        <f>TIME(0,AK11,AL11)</f>
        <v>4.7222222222222223E-3</v>
      </c>
      <c r="AN11" s="7">
        <v>160</v>
      </c>
      <c r="AO11" s="7">
        <f>AN$2-AN11</f>
        <v>0</v>
      </c>
      <c r="AP11" s="14">
        <f>AM11+TIME(0,0,AO11)</f>
        <v>4.7222222222222223E-3</v>
      </c>
      <c r="AQ11" s="7">
        <f>RANK(AP11,AP$8:AP$28,1)</f>
        <v>1</v>
      </c>
      <c r="AR11" s="7">
        <f>VLOOKUP(AQ11,'Место-баллы'!$A$3:$E$52,2,0)</f>
        <v>100</v>
      </c>
    </row>
    <row r="12" spans="2:44" x14ac:dyDescent="0.25">
      <c r="B12" s="7">
        <f>RANK(C12,C$8:C$28,0)</f>
        <v>5</v>
      </c>
      <c r="C12" s="7">
        <f>SUMIF($H$1:$AR$1,1,$H12:$AR12)</f>
        <v>402</v>
      </c>
      <c r="D12" s="10"/>
      <c r="E12" s="13" t="s">
        <v>113</v>
      </c>
      <c r="F12" s="13" t="s">
        <v>98</v>
      </c>
      <c r="G12" s="10"/>
      <c r="H12" s="7">
        <v>75</v>
      </c>
      <c r="I12" s="7">
        <f>RANK(H12,H$8:H$28,0)</f>
        <v>8</v>
      </c>
      <c r="J12" s="7">
        <f>VLOOKUP(I12,'Место-баллы'!$A$3:$E$52,2,0)</f>
        <v>71</v>
      </c>
      <c r="K12" s="10"/>
      <c r="L12" s="7">
        <f>11*75</f>
        <v>825</v>
      </c>
      <c r="M12" s="7">
        <f>RANK(L12,L$8:L$28,0)</f>
        <v>3</v>
      </c>
      <c r="N12" s="7">
        <f>VLOOKUP(M12,'Место-баллы'!$A$3:$E$52,2,0)</f>
        <v>90</v>
      </c>
      <c r="O12" s="10"/>
      <c r="P12" s="7">
        <v>8</v>
      </c>
      <c r="Q12" s="7">
        <v>5</v>
      </c>
      <c r="R12" s="14">
        <f>TIME(0,P12,Q12)</f>
        <v>5.6134259259259271E-3</v>
      </c>
      <c r="S12" s="7">
        <v>117</v>
      </c>
      <c r="T12" s="7">
        <f>S$2-S12</f>
        <v>18</v>
      </c>
      <c r="U12" s="14">
        <f>R12+TIME(0,0,T12)</f>
        <v>5.82175925925926E-3</v>
      </c>
      <c r="V12" s="7">
        <f>RANK(U12,U$8:U$28,1)</f>
        <v>8</v>
      </c>
      <c r="W12" s="7">
        <f>VLOOKUP(V12,'Место-баллы'!$A$3:$E$52,2,0)</f>
        <v>71</v>
      </c>
      <c r="X12" s="10"/>
      <c r="Y12" s="7">
        <v>7</v>
      </c>
      <c r="Z12" s="7">
        <v>40</v>
      </c>
      <c r="AA12" s="14"/>
      <c r="AB12" s="7">
        <v>9</v>
      </c>
      <c r="AC12" s="7">
        <v>18</v>
      </c>
      <c r="AD12" s="14">
        <f>TIME(0,AB12,AC12)</f>
        <v>6.4583333333333333E-3</v>
      </c>
      <c r="AE12" s="7">
        <v>400</v>
      </c>
      <c r="AF12" s="7">
        <f>AE$2-AE12</f>
        <v>0</v>
      </c>
      <c r="AG12" s="14">
        <f>AD12+TIME(0,0,AF12)</f>
        <v>6.4583333333333333E-3</v>
      </c>
      <c r="AH12" s="7">
        <f>RANK(AG12,AG$8:AG$28,1)</f>
        <v>4</v>
      </c>
      <c r="AI12" s="7">
        <f>VLOOKUP(AH12,'Место-баллы'!$A$3:$E$52,2,0)</f>
        <v>85</v>
      </c>
      <c r="AJ12" s="10"/>
      <c r="AK12" s="7">
        <v>7</v>
      </c>
      <c r="AL12" s="7">
        <v>3</v>
      </c>
      <c r="AM12" s="14">
        <f>TIME(0,AK12,AL12)</f>
        <v>4.8958333333333328E-3</v>
      </c>
      <c r="AN12" s="7">
        <v>160</v>
      </c>
      <c r="AO12" s="7">
        <f>AN$2-AN12</f>
        <v>0</v>
      </c>
      <c r="AP12" s="14">
        <f>AM12+TIME(0,0,AO12)</f>
        <v>4.8958333333333328E-3</v>
      </c>
      <c r="AQ12" s="7">
        <f>RANK(AP12,AP$8:AP$28,1)</f>
        <v>4</v>
      </c>
      <c r="AR12" s="7">
        <f>VLOOKUP(AQ12,'Место-баллы'!$A$3:$E$52,2,0)</f>
        <v>85</v>
      </c>
    </row>
    <row r="13" spans="2:44" x14ac:dyDescent="0.25">
      <c r="B13" s="7">
        <f>RANK(C13,C$8:C$28,0)</f>
        <v>6</v>
      </c>
      <c r="C13" s="7">
        <f>SUMIF($H$1:$AR$1,1,$H13:$AR13)</f>
        <v>401</v>
      </c>
      <c r="D13" s="10"/>
      <c r="E13" s="13" t="s">
        <v>118</v>
      </c>
      <c r="F13" s="13" t="s">
        <v>98</v>
      </c>
      <c r="G13" s="10"/>
      <c r="H13" s="7">
        <v>70</v>
      </c>
      <c r="I13" s="7">
        <f>RANK(H13,H$8:H$28,0)</f>
        <v>10</v>
      </c>
      <c r="J13" s="7">
        <f>VLOOKUP(I13,'Место-баллы'!$A$3:$E$52,2,0)</f>
        <v>67</v>
      </c>
      <c r="K13" s="10"/>
      <c r="L13" s="7">
        <f>12*70</f>
        <v>840</v>
      </c>
      <c r="M13" s="7">
        <f>RANK(L13,L$8:L$28,0)</f>
        <v>2</v>
      </c>
      <c r="N13" s="7">
        <f>VLOOKUP(M13,'Место-баллы'!$A$3:$E$52,2,0)</f>
        <v>95</v>
      </c>
      <c r="O13" s="10"/>
      <c r="P13" s="7">
        <v>8</v>
      </c>
      <c r="Q13" s="7">
        <v>5</v>
      </c>
      <c r="R13" s="14">
        <f>TIME(0,P13,Q13)</f>
        <v>5.6134259259259271E-3</v>
      </c>
      <c r="S13" s="7">
        <v>113</v>
      </c>
      <c r="T13" s="7">
        <f>S$2-S13</f>
        <v>22</v>
      </c>
      <c r="U13" s="14">
        <f>R13+TIME(0,0,T13)</f>
        <v>5.8680555555555569E-3</v>
      </c>
      <c r="V13" s="7">
        <f>RANK(U13,U$8:U$28,1)</f>
        <v>9</v>
      </c>
      <c r="W13" s="7">
        <f>VLOOKUP(V13,'Место-баллы'!$A$3:$E$52,2,0)</f>
        <v>69</v>
      </c>
      <c r="X13" s="10"/>
      <c r="Y13" s="7">
        <v>8</v>
      </c>
      <c r="Z13" s="7">
        <v>34</v>
      </c>
      <c r="AA13" s="14"/>
      <c r="AB13" s="7">
        <v>10</v>
      </c>
      <c r="AC13" s="7">
        <v>10</v>
      </c>
      <c r="AD13" s="14">
        <f>TIME(0,AB13,AC13)</f>
        <v>7.0601851851851841E-3</v>
      </c>
      <c r="AE13" s="7">
        <v>400</v>
      </c>
      <c r="AF13" s="7">
        <f>AE$2-AE13</f>
        <v>0</v>
      </c>
      <c r="AG13" s="14">
        <f>AD13+TIME(0,0,AF13)</f>
        <v>7.0601851851851841E-3</v>
      </c>
      <c r="AH13" s="7">
        <f>RANK(AG13,AG$8:AG$28,1)</f>
        <v>6</v>
      </c>
      <c r="AI13" s="7">
        <f>VLOOKUP(AH13,'Место-баллы'!$A$3:$E$52,2,0)</f>
        <v>75</v>
      </c>
      <c r="AJ13" s="10"/>
      <c r="AK13" s="7">
        <v>6</v>
      </c>
      <c r="AL13" s="7">
        <v>55</v>
      </c>
      <c r="AM13" s="14">
        <f>TIME(0,AK13,AL13)</f>
        <v>4.8032407407407407E-3</v>
      </c>
      <c r="AN13" s="7">
        <v>160</v>
      </c>
      <c r="AO13" s="7">
        <f>AN$2-AN13</f>
        <v>0</v>
      </c>
      <c r="AP13" s="14">
        <f>AM13+TIME(0,0,AO13)</f>
        <v>4.8032407407407407E-3</v>
      </c>
      <c r="AQ13" s="7">
        <f>RANK(AP13,AP$8:AP$28,1)</f>
        <v>2</v>
      </c>
      <c r="AR13" s="7">
        <f>VLOOKUP(AQ13,'Место-баллы'!$A$3:$E$52,2,0)</f>
        <v>95</v>
      </c>
    </row>
    <row r="14" spans="2:44" x14ac:dyDescent="0.25">
      <c r="B14" s="7">
        <f>RANK(C14,C$8:C$28,0)</f>
        <v>7</v>
      </c>
      <c r="C14" s="7">
        <f>SUMIF($H$1:$AR$1,1,$H14:$AR14)</f>
        <v>392</v>
      </c>
      <c r="D14" s="10"/>
      <c r="E14" s="13" t="s">
        <v>121</v>
      </c>
      <c r="F14" s="13" t="s">
        <v>54</v>
      </c>
      <c r="G14" s="10"/>
      <c r="H14" s="7">
        <v>90</v>
      </c>
      <c r="I14" s="7">
        <f>RANK(H14,H$8:H$28,0)</f>
        <v>2</v>
      </c>
      <c r="J14" s="7">
        <f>VLOOKUP(I14,'Место-баллы'!$A$3:$E$52,2,0)</f>
        <v>95</v>
      </c>
      <c r="K14" s="10"/>
      <c r="L14" s="7">
        <f>6*90</f>
        <v>540</v>
      </c>
      <c r="M14" s="7">
        <f>RANK(L14,L$8:L$28,0)</f>
        <v>18</v>
      </c>
      <c r="N14" s="7">
        <f>VLOOKUP(M14,'Место-баллы'!$A$3:$E$52,2,0)</f>
        <v>51</v>
      </c>
      <c r="O14" s="10"/>
      <c r="P14" s="7">
        <v>7</v>
      </c>
      <c r="Q14" s="7">
        <v>11</v>
      </c>
      <c r="R14" s="14">
        <f>TIME(0,P14,Q14)</f>
        <v>4.9884259259259265E-3</v>
      </c>
      <c r="S14" s="7">
        <v>135</v>
      </c>
      <c r="T14" s="7">
        <f>S$2-S14</f>
        <v>0</v>
      </c>
      <c r="U14" s="14">
        <f>R14+TIME(0,0,T14)</f>
        <v>4.9884259259259265E-3</v>
      </c>
      <c r="V14" s="7">
        <f>RANK(U14,U$8:U$28,1)</f>
        <v>1</v>
      </c>
      <c r="W14" s="7">
        <f>VLOOKUP(V14,'Место-баллы'!$A$3:$E$52,2,0)</f>
        <v>100</v>
      </c>
      <c r="X14" s="10"/>
      <c r="Y14" s="7">
        <v>8</v>
      </c>
      <c r="Z14" s="7">
        <v>41</v>
      </c>
      <c r="AA14" s="14"/>
      <c r="AB14" s="7">
        <v>10</v>
      </c>
      <c r="AC14" s="7">
        <v>27</v>
      </c>
      <c r="AD14" s="14">
        <f>TIME(0,AB14,AC14)</f>
        <v>7.2569444444444443E-3</v>
      </c>
      <c r="AE14" s="7">
        <v>400</v>
      </c>
      <c r="AF14" s="7">
        <f>AE$2-AE14</f>
        <v>0</v>
      </c>
      <c r="AG14" s="14">
        <f>AD14+TIME(0,0,AF14)</f>
        <v>7.2569444444444443E-3</v>
      </c>
      <c r="AH14" s="7">
        <f>RANK(AG14,AG$8:AG$28,1)</f>
        <v>8</v>
      </c>
      <c r="AI14" s="7">
        <f>VLOOKUP(AH14,'Место-баллы'!$A$3:$E$52,2,0)</f>
        <v>71</v>
      </c>
      <c r="AJ14" s="10"/>
      <c r="AK14" s="7">
        <v>7</v>
      </c>
      <c r="AL14" s="7">
        <v>46</v>
      </c>
      <c r="AM14" s="14">
        <f>TIME(0,AK14,AL14)</f>
        <v>5.3935185185185188E-3</v>
      </c>
      <c r="AN14" s="7">
        <v>160</v>
      </c>
      <c r="AO14" s="7">
        <f>AN$2-AN14</f>
        <v>0</v>
      </c>
      <c r="AP14" s="14">
        <f>AM14+TIME(0,0,AO14)</f>
        <v>5.3935185185185188E-3</v>
      </c>
      <c r="AQ14" s="7">
        <f>RANK(AP14,AP$8:AP$28,1)</f>
        <v>6</v>
      </c>
      <c r="AR14" s="7">
        <f>VLOOKUP(AQ14,'Место-баллы'!$A$3:$E$52,2,0)</f>
        <v>75</v>
      </c>
    </row>
    <row r="15" spans="2:44" x14ac:dyDescent="0.25">
      <c r="B15" s="7">
        <f>RANK(C15,C$8:C$28,0)</f>
        <v>8</v>
      </c>
      <c r="C15" s="7">
        <f>SUMIF($H$1:$AR$1,1,$H15:$AR15)</f>
        <v>376</v>
      </c>
      <c r="D15" s="10"/>
      <c r="E15" s="13" t="s">
        <v>111</v>
      </c>
      <c r="F15" s="13" t="s">
        <v>129</v>
      </c>
      <c r="G15" s="10"/>
      <c r="H15" s="7">
        <v>65</v>
      </c>
      <c r="I15" s="7">
        <f>RANK(H15,H$8:H$28,0)</f>
        <v>12</v>
      </c>
      <c r="J15" s="7">
        <f>VLOOKUP(I15,'Место-баллы'!$A$3:$E$52,2,0)</f>
        <v>63</v>
      </c>
      <c r="K15" s="10"/>
      <c r="L15" s="7">
        <f>13*65</f>
        <v>845</v>
      </c>
      <c r="M15" s="7">
        <f>RANK(L15,L$8:L$28,0)</f>
        <v>1</v>
      </c>
      <c r="N15" s="7">
        <f>VLOOKUP(M15,'Место-баллы'!$A$3:$E$52,2,0)</f>
        <v>100</v>
      </c>
      <c r="O15" s="10"/>
      <c r="P15" s="7">
        <v>8</v>
      </c>
      <c r="Q15" s="7">
        <v>5</v>
      </c>
      <c r="R15" s="14">
        <f>TIME(0,P15,Q15)</f>
        <v>5.6134259259259271E-3</v>
      </c>
      <c r="S15" s="7">
        <v>120</v>
      </c>
      <c r="T15" s="7">
        <f>S$2-S15</f>
        <v>15</v>
      </c>
      <c r="U15" s="14">
        <f>R15+TIME(0,0,T15)</f>
        <v>5.7870370370370385E-3</v>
      </c>
      <c r="V15" s="7">
        <f>RANK(U15,U$8:U$28,1)</f>
        <v>6</v>
      </c>
      <c r="W15" s="7">
        <f>VLOOKUP(V15,'Место-баллы'!$A$3:$E$52,2,0)</f>
        <v>75</v>
      </c>
      <c r="X15" s="10"/>
      <c r="Y15" s="7">
        <v>8</v>
      </c>
      <c r="Z15" s="7">
        <v>46</v>
      </c>
      <c r="AA15" s="14"/>
      <c r="AB15" s="7">
        <v>10</v>
      </c>
      <c r="AC15" s="7">
        <v>34</v>
      </c>
      <c r="AD15" s="14">
        <f>TIME(0,AB15,AC15)</f>
        <v>7.3379629629629628E-3</v>
      </c>
      <c r="AE15" s="7">
        <v>400</v>
      </c>
      <c r="AF15" s="7">
        <f>AE$2-AE15</f>
        <v>0</v>
      </c>
      <c r="AG15" s="14">
        <f>AD15+TIME(0,0,AF15)</f>
        <v>7.3379629629629628E-3</v>
      </c>
      <c r="AH15" s="7">
        <f>RANK(AG15,AG$8:AG$28,1)</f>
        <v>9</v>
      </c>
      <c r="AI15" s="7">
        <f>VLOOKUP(AH15,'Место-баллы'!$A$3:$E$52,2,0)</f>
        <v>69</v>
      </c>
      <c r="AJ15" s="10"/>
      <c r="AK15" s="7">
        <v>8</v>
      </c>
      <c r="AL15" s="7">
        <v>5</v>
      </c>
      <c r="AM15" s="14">
        <f>TIME(0,AK15,AL15)</f>
        <v>5.6134259259259271E-3</v>
      </c>
      <c r="AN15" s="7">
        <v>157</v>
      </c>
      <c r="AO15" s="7">
        <f>AN$2-AN15</f>
        <v>3</v>
      </c>
      <c r="AP15" s="14">
        <f>AM15+TIME(0,0,AO15)</f>
        <v>5.6481481481481495E-3</v>
      </c>
      <c r="AQ15" s="7">
        <f>RANK(AP15,AP$8:AP$28,1)</f>
        <v>9</v>
      </c>
      <c r="AR15" s="7">
        <f>VLOOKUP(AQ15,'Место-баллы'!$A$3:$E$52,2,0)</f>
        <v>69</v>
      </c>
    </row>
    <row r="16" spans="2:44" x14ac:dyDescent="0.25">
      <c r="B16" s="7">
        <f>RANK(C16,C$8:C$28,0)</f>
        <v>9</v>
      </c>
      <c r="C16" s="7">
        <f>SUMIF($H$1:$AR$1,1,$H16:$AR16)</f>
        <v>361</v>
      </c>
      <c r="D16" s="10"/>
      <c r="E16" s="13" t="s">
        <v>124</v>
      </c>
      <c r="F16" s="13" t="s">
        <v>98</v>
      </c>
      <c r="G16" s="10"/>
      <c r="H16" s="7">
        <v>85</v>
      </c>
      <c r="I16" s="7">
        <f>RANK(H16,H$8:H$28,0)</f>
        <v>3</v>
      </c>
      <c r="J16" s="7">
        <f>VLOOKUP(I16,'Место-баллы'!$A$3:$E$52,2,0)</f>
        <v>90</v>
      </c>
      <c r="K16" s="10"/>
      <c r="L16" s="7">
        <f>8*85</f>
        <v>680</v>
      </c>
      <c r="M16" s="7">
        <f>RANK(L16,L$8:L$28,0)</f>
        <v>11</v>
      </c>
      <c r="N16" s="7">
        <f>VLOOKUP(M16,'Место-баллы'!$A$3:$E$52,2,0)</f>
        <v>65</v>
      </c>
      <c r="O16" s="10"/>
      <c r="P16" s="7">
        <v>7</v>
      </c>
      <c r="Q16" s="7">
        <v>52</v>
      </c>
      <c r="R16" s="14">
        <f>TIME(0,P16,Q16)</f>
        <v>5.4629629629629637E-3</v>
      </c>
      <c r="S16" s="7">
        <v>135</v>
      </c>
      <c r="T16" s="7">
        <f>S$2-S16</f>
        <v>0</v>
      </c>
      <c r="U16" s="14">
        <f>R16+TIME(0,0,T16)</f>
        <v>5.4629629629629637E-3</v>
      </c>
      <c r="V16" s="7">
        <f>RANK(U16,U$8:U$28,1)</f>
        <v>5</v>
      </c>
      <c r="W16" s="7">
        <f>VLOOKUP(V16,'Место-баллы'!$A$3:$E$52,2,0)</f>
        <v>80</v>
      </c>
      <c r="X16" s="10"/>
      <c r="Y16" s="7">
        <v>8</v>
      </c>
      <c r="Z16" s="7">
        <v>40</v>
      </c>
      <c r="AA16" s="14"/>
      <c r="AB16" s="7">
        <v>10</v>
      </c>
      <c r="AC16" s="7">
        <v>20</v>
      </c>
      <c r="AD16" s="14">
        <f>TIME(0,AB16,AC16)</f>
        <v>7.1759259259259259E-3</v>
      </c>
      <c r="AE16" s="7">
        <v>400</v>
      </c>
      <c r="AF16" s="7">
        <f>AE$2-AE16</f>
        <v>0</v>
      </c>
      <c r="AG16" s="14">
        <f>AD16+TIME(0,0,AF16)</f>
        <v>7.1759259259259259E-3</v>
      </c>
      <c r="AH16" s="7">
        <f>RANK(AG16,AG$8:AG$28,1)</f>
        <v>7</v>
      </c>
      <c r="AI16" s="7">
        <f>VLOOKUP(AH16,'Место-баллы'!$A$3:$E$52,2,0)</f>
        <v>73</v>
      </c>
      <c r="AJ16" s="10"/>
      <c r="AK16" s="7">
        <v>8</v>
      </c>
      <c r="AL16" s="7">
        <v>5</v>
      </c>
      <c r="AM16" s="14">
        <f>TIME(0,AK16,AL16)</f>
        <v>5.6134259259259271E-3</v>
      </c>
      <c r="AN16" s="7">
        <v>153</v>
      </c>
      <c r="AO16" s="7">
        <f>AN$2-AN16</f>
        <v>7</v>
      </c>
      <c r="AP16" s="14">
        <f>AM16+TIME(0,0,AO16)</f>
        <v>5.6944444444444456E-3</v>
      </c>
      <c r="AQ16" s="7">
        <f>RANK(AP16,AP$8:AP$28,1)</f>
        <v>17</v>
      </c>
      <c r="AR16" s="7">
        <f>VLOOKUP(AQ16,'Место-баллы'!$A$3:$E$52,2,0)</f>
        <v>53</v>
      </c>
    </row>
    <row r="17" spans="2:44" x14ac:dyDescent="0.25">
      <c r="B17" s="7">
        <f>RANK(C17,C$8:C$28,0)</f>
        <v>10</v>
      </c>
      <c r="C17" s="7">
        <f>SUMIF($H$1:$AR$1,1,$H17:$AR17)</f>
        <v>335</v>
      </c>
      <c r="D17" s="10"/>
      <c r="E17" s="13" t="s">
        <v>120</v>
      </c>
      <c r="F17" s="13" t="s">
        <v>98</v>
      </c>
      <c r="G17" s="10"/>
      <c r="H17" s="7">
        <v>76</v>
      </c>
      <c r="I17" s="7">
        <f>RANK(H17,H$8:H$28,0)</f>
        <v>7</v>
      </c>
      <c r="J17" s="7">
        <f>VLOOKUP(I17,'Место-баллы'!$A$3:$E$52,2,0)</f>
        <v>73</v>
      </c>
      <c r="K17" s="10"/>
      <c r="L17" s="7">
        <f>9*76</f>
        <v>684</v>
      </c>
      <c r="M17" s="7">
        <f>RANK(L17,L$8:L$28,0)</f>
        <v>10</v>
      </c>
      <c r="N17" s="7">
        <f>VLOOKUP(M17,'Место-баллы'!$A$3:$E$52,2,0)</f>
        <v>67</v>
      </c>
      <c r="O17" s="10"/>
      <c r="P17" s="7">
        <v>8</v>
      </c>
      <c r="Q17" s="7">
        <v>5</v>
      </c>
      <c r="R17" s="14">
        <f>TIME(0,P17,Q17)</f>
        <v>5.6134259259259271E-3</v>
      </c>
      <c r="S17" s="7">
        <v>94</v>
      </c>
      <c r="T17" s="7">
        <f>S$2-S17</f>
        <v>41</v>
      </c>
      <c r="U17" s="14">
        <f>R17+TIME(0,0,T17)</f>
        <v>6.0879629629629643E-3</v>
      </c>
      <c r="V17" s="7">
        <f>RANK(U17,U$8:U$28,1)</f>
        <v>14</v>
      </c>
      <c r="W17" s="7">
        <f>VLOOKUP(V17,'Место-баллы'!$A$3:$E$52,2,0)</f>
        <v>59</v>
      </c>
      <c r="X17" s="10"/>
      <c r="Y17" s="7">
        <v>8</v>
      </c>
      <c r="Z17" s="7">
        <v>35</v>
      </c>
      <c r="AA17" s="14">
        <f>TIME(0,Y17,Z17)</f>
        <v>5.9606481481481489E-3</v>
      </c>
      <c r="AB17" s="7">
        <v>12</v>
      </c>
      <c r="AC17" s="7">
        <v>5</v>
      </c>
      <c r="AD17" s="14">
        <f>TIME(0,AB17,AC17)</f>
        <v>8.3912037037037045E-3</v>
      </c>
      <c r="AE17" s="7">
        <v>350</v>
      </c>
      <c r="AF17" s="7">
        <f>AE$2-AE17</f>
        <v>50</v>
      </c>
      <c r="AG17" s="14">
        <f>AD17+TIME(0,0,AF17)</f>
        <v>8.9699074074074091E-3</v>
      </c>
      <c r="AH17" s="7">
        <f>RANK(AG17,AG$8:AG$28,1)</f>
        <v>12</v>
      </c>
      <c r="AI17" s="7">
        <f>VLOOKUP(AH17,'Место-баллы'!$A$3:$E$52,2,0)</f>
        <v>63</v>
      </c>
      <c r="AJ17" s="10"/>
      <c r="AK17" s="7">
        <v>8</v>
      </c>
      <c r="AL17" s="7">
        <v>5</v>
      </c>
      <c r="AM17" s="14">
        <f>TIME(0,AK17,AL17)</f>
        <v>5.6134259259259271E-3</v>
      </c>
      <c r="AN17" s="7">
        <v>159</v>
      </c>
      <c r="AO17" s="7">
        <f>AN$2-AN17</f>
        <v>1</v>
      </c>
      <c r="AP17" s="14">
        <f>AM17+TIME(0,0,AO17)</f>
        <v>5.6250000000000015E-3</v>
      </c>
      <c r="AQ17" s="7">
        <f>RANK(AP17,AP$8:AP$28,1)</f>
        <v>7</v>
      </c>
      <c r="AR17" s="7">
        <f>VLOOKUP(AQ17,'Место-баллы'!$A$3:$E$52,2,0)</f>
        <v>73</v>
      </c>
    </row>
    <row r="18" spans="2:44" x14ac:dyDescent="0.25">
      <c r="B18" s="7">
        <f>RANK(C18,C$8:C$28,0)</f>
        <v>11</v>
      </c>
      <c r="C18" s="7">
        <f>SUMIF($H$1:$AR$1,1,$H18:$AR18)</f>
        <v>321</v>
      </c>
      <c r="D18" s="10"/>
      <c r="E18" s="13" t="s">
        <v>125</v>
      </c>
      <c r="F18" s="13" t="s">
        <v>98</v>
      </c>
      <c r="G18" s="10"/>
      <c r="H18" s="7">
        <v>55</v>
      </c>
      <c r="I18" s="7">
        <f>RANK(H18,H$8:H$28,0)</f>
        <v>16</v>
      </c>
      <c r="J18" s="7">
        <f>VLOOKUP(I18,'Место-баллы'!$A$3:$E$52,2,0)</f>
        <v>55</v>
      </c>
      <c r="K18" s="10"/>
      <c r="L18" s="7">
        <f>14*55</f>
        <v>770</v>
      </c>
      <c r="M18" s="7">
        <f>RANK(L18,L$8:L$28,0)</f>
        <v>6</v>
      </c>
      <c r="N18" s="7">
        <f>VLOOKUP(M18,'Место-баллы'!$A$3:$E$52,2,0)</f>
        <v>75</v>
      </c>
      <c r="O18" s="10"/>
      <c r="P18" s="7">
        <v>8</v>
      </c>
      <c r="Q18" s="7">
        <v>5</v>
      </c>
      <c r="R18" s="14">
        <f>TIME(0,P18,Q18)</f>
        <v>5.6134259259259271E-3</v>
      </c>
      <c r="S18" s="7">
        <v>112</v>
      </c>
      <c r="T18" s="7">
        <f>S$2-S18</f>
        <v>23</v>
      </c>
      <c r="U18" s="14">
        <f>R18+TIME(0,0,T18)</f>
        <v>5.8796296296296305E-3</v>
      </c>
      <c r="V18" s="7">
        <f>RANK(U18,U$8:U$28,1)</f>
        <v>10</v>
      </c>
      <c r="W18" s="7">
        <f>VLOOKUP(V18,'Место-баллы'!$A$3:$E$52,2,0)</f>
        <v>67</v>
      </c>
      <c r="X18" s="10"/>
      <c r="Y18" s="7">
        <v>9</v>
      </c>
      <c r="Z18" s="7">
        <v>3</v>
      </c>
      <c r="AA18" s="14">
        <f>TIME(0,Y18,Z18)</f>
        <v>6.2847222222222228E-3</v>
      </c>
      <c r="AB18" s="7">
        <v>12</v>
      </c>
      <c r="AC18" s="7">
        <v>5</v>
      </c>
      <c r="AD18" s="14">
        <f>TIME(0,AB18,AC18)</f>
        <v>8.3912037037037045E-3</v>
      </c>
      <c r="AE18" s="7">
        <v>350</v>
      </c>
      <c r="AF18" s="7">
        <f>AE$2-AE18</f>
        <v>50</v>
      </c>
      <c r="AG18" s="14">
        <f>AD18+TIME(0,0,AF18)</f>
        <v>8.9699074074074091E-3</v>
      </c>
      <c r="AH18" s="7">
        <v>13</v>
      </c>
      <c r="AI18" s="7">
        <f>VLOOKUP(AH18,'Место-баллы'!$A$3:$E$52,2,0)</f>
        <v>61</v>
      </c>
      <c r="AJ18" s="10"/>
      <c r="AK18" s="7">
        <v>8</v>
      </c>
      <c r="AL18" s="7">
        <v>5</v>
      </c>
      <c r="AM18" s="14">
        <f>TIME(0,AK18,AL18)</f>
        <v>5.6134259259259271E-3</v>
      </c>
      <c r="AN18" s="7">
        <v>156</v>
      </c>
      <c r="AO18" s="7">
        <f>AN$2-AN18</f>
        <v>4</v>
      </c>
      <c r="AP18" s="14">
        <f>AM18+TIME(0,0,AO18)</f>
        <v>5.6597222222222231E-3</v>
      </c>
      <c r="AQ18" s="7">
        <f>RANK(AP18,AP$8:AP$28,1)</f>
        <v>12</v>
      </c>
      <c r="AR18" s="7">
        <f>VLOOKUP(AQ18,'Место-баллы'!$A$3:$E$52,2,0)</f>
        <v>63</v>
      </c>
    </row>
    <row r="19" spans="2:44" x14ac:dyDescent="0.25">
      <c r="B19" s="7">
        <f>RANK(C19,C$8:C$28,0)</f>
        <v>12</v>
      </c>
      <c r="C19" s="7">
        <f>SUMIF($H$1:$AR$1,1,$H19:$AR19)</f>
        <v>317</v>
      </c>
      <c r="D19" s="10"/>
      <c r="E19" s="13" t="s">
        <v>110</v>
      </c>
      <c r="F19" s="13" t="s">
        <v>98</v>
      </c>
      <c r="G19" s="10"/>
      <c r="H19" s="7">
        <v>62</v>
      </c>
      <c r="I19" s="7">
        <f>RANK(H19,H$8:H$28,0)</f>
        <v>13</v>
      </c>
      <c r="J19" s="7">
        <f>VLOOKUP(I19,'Место-баллы'!$A$3:$E$52,2,0)</f>
        <v>61</v>
      </c>
      <c r="K19" s="10"/>
      <c r="L19" s="7">
        <f>13*62</f>
        <v>806</v>
      </c>
      <c r="M19" s="7">
        <f>RANK(L19,L$8:L$28,0)</f>
        <v>4</v>
      </c>
      <c r="N19" s="7">
        <f>VLOOKUP(M19,'Место-баллы'!$A$3:$E$52,2,0)</f>
        <v>85</v>
      </c>
      <c r="O19" s="10"/>
      <c r="P19" s="7">
        <v>8</v>
      </c>
      <c r="Q19" s="7">
        <v>5</v>
      </c>
      <c r="R19" s="14">
        <f>TIME(0,P19,Q19)</f>
        <v>5.6134259259259271E-3</v>
      </c>
      <c r="S19" s="7">
        <v>90</v>
      </c>
      <c r="T19" s="7">
        <f>S$2-S19</f>
        <v>45</v>
      </c>
      <c r="U19" s="14">
        <f>R19+TIME(0,0,T19)</f>
        <v>6.1342592592592603E-3</v>
      </c>
      <c r="V19" s="7">
        <f>RANK(U19,U$8:U$28,1)</f>
        <v>17</v>
      </c>
      <c r="W19" s="7">
        <f>VLOOKUP(V19,'Место-баллы'!$A$3:$E$52,2,0)</f>
        <v>53</v>
      </c>
      <c r="X19" s="10"/>
      <c r="Y19" s="7">
        <v>10</v>
      </c>
      <c r="Z19" s="7">
        <v>29</v>
      </c>
      <c r="AA19" s="14">
        <f>TIME(0,Y19,Z19)</f>
        <v>7.2800925925925915E-3</v>
      </c>
      <c r="AB19" s="7">
        <v>12</v>
      </c>
      <c r="AC19" s="7">
        <v>5</v>
      </c>
      <c r="AD19" s="14">
        <f>TIME(0,AB19,AC19)</f>
        <v>8.3912037037037045E-3</v>
      </c>
      <c r="AE19" s="7">
        <v>350</v>
      </c>
      <c r="AF19" s="7">
        <f>AE$2-AE19</f>
        <v>50</v>
      </c>
      <c r="AG19" s="14">
        <f>AD19+TIME(0,0,AF19)</f>
        <v>8.9699074074074091E-3</v>
      </c>
      <c r="AH19" s="7">
        <v>15</v>
      </c>
      <c r="AI19" s="7">
        <f>VLOOKUP(AH19,'Место-баллы'!$A$3:$E$52,2,0)</f>
        <v>57</v>
      </c>
      <c r="AJ19" s="10"/>
      <c r="AK19" s="7">
        <v>8</v>
      </c>
      <c r="AL19" s="7">
        <v>5</v>
      </c>
      <c r="AM19" s="14">
        <f>TIME(0,AK19,AL19)</f>
        <v>5.6134259259259271E-3</v>
      </c>
      <c r="AN19" s="7">
        <v>155</v>
      </c>
      <c r="AO19" s="7">
        <f>AN$2-AN19</f>
        <v>5</v>
      </c>
      <c r="AP19" s="14">
        <f>AM19+TIME(0,0,AO19)</f>
        <v>5.6712962962962975E-3</v>
      </c>
      <c r="AQ19" s="7">
        <f>RANK(AP19,AP$8:AP$28,1)</f>
        <v>13</v>
      </c>
      <c r="AR19" s="7">
        <f>VLOOKUP(AQ19,'Место-баллы'!$A$3:$E$52,2,0)</f>
        <v>61</v>
      </c>
    </row>
    <row r="20" spans="2:44" x14ac:dyDescent="0.25">
      <c r="B20" s="7">
        <v>13</v>
      </c>
      <c r="C20" s="7">
        <f>SUMIF($H$1:$AR$1,1,$H20:$AR20)</f>
        <v>317</v>
      </c>
      <c r="D20" s="10"/>
      <c r="E20" s="13" t="s">
        <v>115</v>
      </c>
      <c r="F20" s="13" t="s">
        <v>98</v>
      </c>
      <c r="G20" s="10"/>
      <c r="H20" s="7">
        <v>55</v>
      </c>
      <c r="I20" s="7">
        <f>RANK(H20,H$8:H$28,0)</f>
        <v>16</v>
      </c>
      <c r="J20" s="7">
        <f>VLOOKUP(I20,'Место-баллы'!$A$3:$E$52,2,0)</f>
        <v>55</v>
      </c>
      <c r="K20" s="10"/>
      <c r="L20" s="7">
        <f>12*55</f>
        <v>660</v>
      </c>
      <c r="M20" s="7">
        <f>RANK(L20,L$8:L$28,0)</f>
        <v>13</v>
      </c>
      <c r="N20" s="7">
        <f>VLOOKUP(M20,'Место-баллы'!$A$3:$E$52,2,0)</f>
        <v>61</v>
      </c>
      <c r="O20" s="10"/>
      <c r="P20" s="7">
        <v>8</v>
      </c>
      <c r="Q20" s="7">
        <v>5</v>
      </c>
      <c r="R20" s="14">
        <f>TIME(0,P20,Q20)</f>
        <v>5.6134259259259271E-3</v>
      </c>
      <c r="S20" s="7">
        <v>119</v>
      </c>
      <c r="T20" s="7">
        <f>S$2-S20</f>
        <v>16</v>
      </c>
      <c r="U20" s="14">
        <f>R20+TIME(0,0,T20)</f>
        <v>5.798611111111112E-3</v>
      </c>
      <c r="V20" s="7">
        <f>RANK(U20,U$8:U$28,1)</f>
        <v>7</v>
      </c>
      <c r="W20" s="7">
        <f>VLOOKUP(V20,'Место-баллы'!$A$3:$E$52,2,0)</f>
        <v>73</v>
      </c>
      <c r="X20" s="10"/>
      <c r="Y20" s="7">
        <v>9</v>
      </c>
      <c r="Z20" s="7">
        <v>57</v>
      </c>
      <c r="AA20" s="14"/>
      <c r="AB20" s="7">
        <v>11</v>
      </c>
      <c r="AC20" s="7">
        <v>27</v>
      </c>
      <c r="AD20" s="14">
        <f>TIME(0,AB20,AC20)</f>
        <v>7.951388888888888E-3</v>
      </c>
      <c r="AE20" s="7">
        <v>400</v>
      </c>
      <c r="AF20" s="7">
        <f>AE$2-AE20</f>
        <v>0</v>
      </c>
      <c r="AG20" s="14">
        <f>AD20+TIME(0,0,AF20)</f>
        <v>7.951388888888888E-3</v>
      </c>
      <c r="AH20" s="7">
        <f>RANK(AG20,AG$8:AG$28,1)</f>
        <v>10</v>
      </c>
      <c r="AI20" s="7">
        <f>VLOOKUP(AH20,'Место-баллы'!$A$3:$E$52,2,0)</f>
        <v>67</v>
      </c>
      <c r="AJ20" s="10"/>
      <c r="AK20" s="7">
        <v>8</v>
      </c>
      <c r="AL20" s="7">
        <v>5</v>
      </c>
      <c r="AM20" s="14">
        <f>TIME(0,AK20,AL20)</f>
        <v>5.6134259259259271E-3</v>
      </c>
      <c r="AN20" s="7">
        <v>155</v>
      </c>
      <c r="AO20" s="7">
        <f>AN$2-AN20</f>
        <v>5</v>
      </c>
      <c r="AP20" s="14">
        <f>AM20+TIME(0,0,AO20)</f>
        <v>5.6712962962962975E-3</v>
      </c>
      <c r="AQ20" s="7">
        <f>RANK(AP20,AP$8:AP$28,1)</f>
        <v>13</v>
      </c>
      <c r="AR20" s="7">
        <f>VLOOKUP(AQ20,'Место-баллы'!$A$3:$E$52,2,0)</f>
        <v>61</v>
      </c>
    </row>
    <row r="21" spans="2:44" x14ac:dyDescent="0.25">
      <c r="B21" s="7">
        <v>14</v>
      </c>
      <c r="C21" s="7">
        <f>SUMIF($H$1:$AR$1,1,$H21:$AR21)</f>
        <v>317</v>
      </c>
      <c r="D21" s="10"/>
      <c r="E21" s="13" t="s">
        <v>119</v>
      </c>
      <c r="F21" s="13" t="s">
        <v>101</v>
      </c>
      <c r="G21" s="10"/>
      <c r="H21" s="7">
        <v>70</v>
      </c>
      <c r="I21" s="7">
        <f>RANK(H21,H$8:H$28,0)</f>
        <v>10</v>
      </c>
      <c r="J21" s="7">
        <f>VLOOKUP(I21,'Место-баллы'!$A$3:$E$52,2,0)</f>
        <v>67</v>
      </c>
      <c r="K21" s="10"/>
      <c r="L21" s="7">
        <f>9*70</f>
        <v>630</v>
      </c>
      <c r="M21" s="7">
        <f>RANK(L21,L$8:L$28,0)</f>
        <v>15</v>
      </c>
      <c r="N21" s="7">
        <f>VLOOKUP(M21,'Место-баллы'!$A$3:$E$52,2,0)</f>
        <v>57</v>
      </c>
      <c r="O21" s="10"/>
      <c r="P21" s="7">
        <v>8</v>
      </c>
      <c r="Q21" s="7">
        <v>5</v>
      </c>
      <c r="R21" s="14">
        <f>TIME(0,P21,Q21)</f>
        <v>5.6134259259259271E-3</v>
      </c>
      <c r="S21" s="7">
        <v>94</v>
      </c>
      <c r="T21" s="7">
        <f>S$2-S21</f>
        <v>41</v>
      </c>
      <c r="U21" s="14">
        <f>R21+TIME(0,0,T21)</f>
        <v>6.0879629629629643E-3</v>
      </c>
      <c r="V21" s="7">
        <f>RANK(U21,U$8:U$28,1)</f>
        <v>14</v>
      </c>
      <c r="W21" s="7">
        <f>VLOOKUP(V21,'Место-баллы'!$A$3:$E$52,2,0)</f>
        <v>59</v>
      </c>
      <c r="X21" s="10"/>
      <c r="Y21" s="7">
        <v>8</v>
      </c>
      <c r="Z21" s="7">
        <v>34</v>
      </c>
      <c r="AA21" s="14"/>
      <c r="AB21" s="7">
        <v>12</v>
      </c>
      <c r="AC21" s="7">
        <v>5</v>
      </c>
      <c r="AD21" s="14">
        <f>TIME(0,AB21,AC21)</f>
        <v>8.3912037037037045E-3</v>
      </c>
      <c r="AE21" s="7">
        <v>400</v>
      </c>
      <c r="AF21" s="7">
        <f>AE$2-AE21</f>
        <v>0</v>
      </c>
      <c r="AG21" s="14">
        <f>AD21+TIME(0,0,AF21)</f>
        <v>8.3912037037037045E-3</v>
      </c>
      <c r="AH21" s="7">
        <f>RANK(AG21,AG$8:AG$28,1)</f>
        <v>11</v>
      </c>
      <c r="AI21" s="7">
        <f>VLOOKUP(AH21,'Место-баллы'!$A$3:$E$52,2,0)</f>
        <v>65</v>
      </c>
      <c r="AJ21" s="10"/>
      <c r="AK21" s="7">
        <v>8</v>
      </c>
      <c r="AL21" s="7">
        <v>5</v>
      </c>
      <c r="AM21" s="14">
        <f>TIME(0,AK21,AL21)</f>
        <v>5.6134259259259271E-3</v>
      </c>
      <c r="AN21" s="7">
        <v>157</v>
      </c>
      <c r="AO21" s="7">
        <f>AN$2-AN21</f>
        <v>3</v>
      </c>
      <c r="AP21" s="14">
        <f>AM21+TIME(0,0,AO21)</f>
        <v>5.6481481481481495E-3</v>
      </c>
      <c r="AQ21" s="7">
        <f>RANK(AP21,AP$8:AP$28,1)</f>
        <v>9</v>
      </c>
      <c r="AR21" s="7">
        <f>VLOOKUP(AQ21,'Место-баллы'!$A$3:$E$52,2,0)</f>
        <v>69</v>
      </c>
    </row>
    <row r="22" spans="2:44" x14ac:dyDescent="0.25">
      <c r="B22" s="7">
        <f>RANK(C22,C$8:C$28,0)</f>
        <v>15</v>
      </c>
      <c r="C22" s="7">
        <f>SUMIF($H$1:$AR$1,1,$H22:$AR22)</f>
        <v>314</v>
      </c>
      <c r="D22" s="10"/>
      <c r="E22" s="13" t="s">
        <v>114</v>
      </c>
      <c r="F22" s="13" t="s">
        <v>128</v>
      </c>
      <c r="G22" s="10"/>
      <c r="H22" s="7">
        <v>50</v>
      </c>
      <c r="I22" s="7">
        <f>RANK(H22,H$8:H$28,0)</f>
        <v>19</v>
      </c>
      <c r="J22" s="7">
        <f>VLOOKUP(I22,'Место-баллы'!$A$3:$E$52,2,0)</f>
        <v>49</v>
      </c>
      <c r="K22" s="10"/>
      <c r="L22" s="7">
        <f>16*50</f>
        <v>800</v>
      </c>
      <c r="M22" s="7">
        <f>RANK(L22,L$8:L$28,0)</f>
        <v>5</v>
      </c>
      <c r="N22" s="7">
        <f>VLOOKUP(M22,'Место-баллы'!$A$3:$E$52,2,0)</f>
        <v>80</v>
      </c>
      <c r="O22" s="10"/>
      <c r="P22" s="7">
        <v>8</v>
      </c>
      <c r="Q22" s="7">
        <v>5</v>
      </c>
      <c r="R22" s="14">
        <f>TIME(0,P22,Q22)</f>
        <v>5.6134259259259271E-3</v>
      </c>
      <c r="S22" s="7">
        <v>96</v>
      </c>
      <c r="T22" s="7">
        <f>S$2-S22</f>
        <v>39</v>
      </c>
      <c r="U22" s="14">
        <f>R22+TIME(0,0,T22)</f>
        <v>6.0648148148148163E-3</v>
      </c>
      <c r="V22" s="7">
        <f>RANK(U22,U$8:U$28,1)</f>
        <v>13</v>
      </c>
      <c r="W22" s="7">
        <f>VLOOKUP(V22,'Место-баллы'!$A$3:$E$52,2,0)</f>
        <v>61</v>
      </c>
      <c r="X22" s="10"/>
      <c r="Y22" s="7">
        <v>11</v>
      </c>
      <c r="Z22" s="7">
        <v>35</v>
      </c>
      <c r="AA22" s="14">
        <f>TIME(0,Y22,Z22)</f>
        <v>8.0439814814814818E-3</v>
      </c>
      <c r="AB22" s="7">
        <v>12</v>
      </c>
      <c r="AC22" s="7">
        <v>5</v>
      </c>
      <c r="AD22" s="14">
        <f>TIME(0,AB22,AC22)</f>
        <v>8.3912037037037045E-3</v>
      </c>
      <c r="AE22" s="7">
        <v>300</v>
      </c>
      <c r="AF22" s="7">
        <f>AE$2-AE22</f>
        <v>100</v>
      </c>
      <c r="AG22" s="14">
        <f>AD22+TIME(0,0,AF22)</f>
        <v>9.5486111111111119E-3</v>
      </c>
      <c r="AH22" s="7">
        <f>RANK(AG22,AG$8:AG$28,1)</f>
        <v>16</v>
      </c>
      <c r="AI22" s="7">
        <f>VLOOKUP(AH22,'Место-баллы'!$A$3:$E$52,2,0)</f>
        <v>55</v>
      </c>
      <c r="AJ22" s="10"/>
      <c r="AK22" s="7">
        <v>8</v>
      </c>
      <c r="AL22" s="7">
        <v>5</v>
      </c>
      <c r="AM22" s="14">
        <f>TIME(0,AK22,AL22)</f>
        <v>5.6134259259259271E-3</v>
      </c>
      <c r="AN22" s="7">
        <v>157</v>
      </c>
      <c r="AO22" s="7">
        <f>AN$2-AN22</f>
        <v>3</v>
      </c>
      <c r="AP22" s="14">
        <f>AM22+TIME(0,0,AO22)</f>
        <v>5.6481481481481495E-3</v>
      </c>
      <c r="AQ22" s="7">
        <f>RANK(AP22,AP$8:AP$28,1)</f>
        <v>9</v>
      </c>
      <c r="AR22" s="7">
        <f>VLOOKUP(AQ22,'Место-баллы'!$A$3:$E$52,2,0)</f>
        <v>69</v>
      </c>
    </row>
    <row r="23" spans="2:44" x14ac:dyDescent="0.25">
      <c r="B23" s="7">
        <f>RANK(C23,C$8:C$28,0)</f>
        <v>16</v>
      </c>
      <c r="C23" s="7">
        <f>SUMIF($H$1:$AR$1,1,$H23:$AR23)</f>
        <v>295</v>
      </c>
      <c r="D23" s="10"/>
      <c r="E23" s="13" t="s">
        <v>117</v>
      </c>
      <c r="F23" s="13" t="s">
        <v>98</v>
      </c>
      <c r="G23" s="10"/>
      <c r="H23" s="7">
        <v>56</v>
      </c>
      <c r="I23" s="7">
        <f>RANK(H23,H$8:H$28,0)</f>
        <v>14</v>
      </c>
      <c r="J23" s="7">
        <f>VLOOKUP(I23,'Место-баллы'!$A$3:$E$52,2,0)</f>
        <v>59</v>
      </c>
      <c r="K23" s="10"/>
      <c r="L23" s="7">
        <f>12*56</f>
        <v>672</v>
      </c>
      <c r="M23" s="7">
        <f>RANK(L23,L$8:L$28,0)</f>
        <v>12</v>
      </c>
      <c r="N23" s="7">
        <f>VLOOKUP(M23,'Место-баллы'!$A$3:$E$52,2,0)</f>
        <v>63</v>
      </c>
      <c r="O23" s="10"/>
      <c r="P23" s="7">
        <v>8</v>
      </c>
      <c r="Q23" s="7">
        <v>5</v>
      </c>
      <c r="R23" s="14">
        <f>TIME(0,P23,Q23)</f>
        <v>5.6134259259259271E-3</v>
      </c>
      <c r="S23" s="7">
        <v>94</v>
      </c>
      <c r="T23" s="7">
        <f>S$2-S23</f>
        <v>41</v>
      </c>
      <c r="U23" s="14">
        <f>R23+TIME(0,0,T23)</f>
        <v>6.0879629629629643E-3</v>
      </c>
      <c r="V23" s="7">
        <f>RANK(U23,U$8:U$28,1)</f>
        <v>14</v>
      </c>
      <c r="W23" s="7">
        <f>VLOOKUP(V23,'Место-баллы'!$A$3:$E$52,2,0)</f>
        <v>59</v>
      </c>
      <c r="X23" s="10"/>
      <c r="Y23" s="7">
        <v>10</v>
      </c>
      <c r="Z23" s="7">
        <v>1</v>
      </c>
      <c r="AA23" s="14">
        <f>TIME(0,Y23,Z23)</f>
        <v>6.9560185185185185E-3</v>
      </c>
      <c r="AB23" s="7">
        <v>12</v>
      </c>
      <c r="AC23" s="7">
        <v>5</v>
      </c>
      <c r="AD23" s="14">
        <f>TIME(0,AB23,AC23)</f>
        <v>8.3912037037037045E-3</v>
      </c>
      <c r="AE23" s="7">
        <v>350</v>
      </c>
      <c r="AF23" s="7">
        <f>AE$2-AE23</f>
        <v>50</v>
      </c>
      <c r="AG23" s="14">
        <f>AD23+TIME(0,0,AF23)</f>
        <v>8.9699074074074091E-3</v>
      </c>
      <c r="AH23" s="7">
        <v>14</v>
      </c>
      <c r="AI23" s="7">
        <f>VLOOKUP(AH23,'Место-баллы'!$A$3:$E$52,2,0)</f>
        <v>59</v>
      </c>
      <c r="AJ23" s="10"/>
      <c r="AK23" s="7">
        <v>8</v>
      </c>
      <c r="AL23" s="7">
        <v>5</v>
      </c>
      <c r="AM23" s="14">
        <f>TIME(0,AK23,AL23)</f>
        <v>5.6134259259259271E-3</v>
      </c>
      <c r="AN23" s="7">
        <v>154</v>
      </c>
      <c r="AO23" s="7">
        <f>AN$2-AN23</f>
        <v>6</v>
      </c>
      <c r="AP23" s="14">
        <f>AM23+TIME(0,0,AO23)</f>
        <v>5.6828703703703711E-3</v>
      </c>
      <c r="AQ23" s="7">
        <f>RANK(AP23,AP$8:AP$28,1)</f>
        <v>16</v>
      </c>
      <c r="AR23" s="7">
        <f>VLOOKUP(AQ23,'Место-баллы'!$A$3:$E$52,2,0)</f>
        <v>55</v>
      </c>
    </row>
    <row r="24" spans="2:44" x14ac:dyDescent="0.25">
      <c r="B24" s="7">
        <f>RANK(C24,C$8:C$28,0)</f>
        <v>17</v>
      </c>
      <c r="C24" s="7">
        <f>SUMIF($H$1:$AR$1,1,$H24:$AR24)</f>
        <v>289</v>
      </c>
      <c r="D24" s="10"/>
      <c r="E24" s="13" t="s">
        <v>126</v>
      </c>
      <c r="F24" s="13" t="s">
        <v>98</v>
      </c>
      <c r="G24" s="10"/>
      <c r="H24" s="7">
        <v>56</v>
      </c>
      <c r="I24" s="7">
        <f>RANK(H24,H$8:H$28,0)</f>
        <v>14</v>
      </c>
      <c r="J24" s="7">
        <f>VLOOKUP(I24,'Место-баллы'!$A$3:$E$52,2,0)</f>
        <v>59</v>
      </c>
      <c r="K24" s="10"/>
      <c r="L24" s="7">
        <f>10*56</f>
        <v>560</v>
      </c>
      <c r="M24" s="7">
        <f>RANK(L24,L$8:L$28,0)</f>
        <v>17</v>
      </c>
      <c r="N24" s="7">
        <f>VLOOKUP(M24,'Место-баллы'!$A$3:$E$52,2,0)</f>
        <v>53</v>
      </c>
      <c r="O24" s="10"/>
      <c r="P24" s="7">
        <v>8</v>
      </c>
      <c r="Q24" s="7">
        <v>5</v>
      </c>
      <c r="R24" s="14">
        <f>TIME(0,P24,Q24)</f>
        <v>5.6134259259259271E-3</v>
      </c>
      <c r="S24" s="7">
        <v>100</v>
      </c>
      <c r="T24" s="7">
        <f>S$2-S24</f>
        <v>35</v>
      </c>
      <c r="U24" s="14">
        <f>R24+TIME(0,0,T24)</f>
        <v>6.0185185185185194E-3</v>
      </c>
      <c r="V24" s="7">
        <f>RANK(U24,U$8:U$28,1)</f>
        <v>12</v>
      </c>
      <c r="W24" s="7">
        <f>VLOOKUP(V24,'Место-баллы'!$A$3:$E$52,2,0)</f>
        <v>63</v>
      </c>
      <c r="X24" s="10"/>
      <c r="Y24" s="7"/>
      <c r="Z24" s="7"/>
      <c r="AA24" s="14"/>
      <c r="AB24" s="7">
        <v>12</v>
      </c>
      <c r="AC24" s="7">
        <v>5</v>
      </c>
      <c r="AD24" s="14">
        <f>TIME(0,AB24,AC24)</f>
        <v>8.3912037037037045E-3</v>
      </c>
      <c r="AE24" s="7">
        <f>225+63</f>
        <v>288</v>
      </c>
      <c r="AF24" s="7">
        <f>AE$2-AE24</f>
        <v>112</v>
      </c>
      <c r="AG24" s="14">
        <f>AD24+TIME(0,0,AF24)</f>
        <v>9.6875000000000017E-3</v>
      </c>
      <c r="AH24" s="7">
        <f>RANK(AG24,AG$8:AG$28,1)</f>
        <v>17</v>
      </c>
      <c r="AI24" s="7">
        <f>VLOOKUP(AH24,'Место-баллы'!$A$3:$E$52,2,0)</f>
        <v>53</v>
      </c>
      <c r="AJ24" s="10"/>
      <c r="AK24" s="7">
        <v>8</v>
      </c>
      <c r="AL24" s="7">
        <v>5</v>
      </c>
      <c r="AM24" s="14">
        <f>TIME(0,AK24,AL24)</f>
        <v>5.6134259259259271E-3</v>
      </c>
      <c r="AN24" s="7">
        <v>155</v>
      </c>
      <c r="AO24" s="7">
        <f>AN$2-AN24</f>
        <v>5</v>
      </c>
      <c r="AP24" s="14">
        <f>AM24+TIME(0,0,AO24)</f>
        <v>5.6712962962962975E-3</v>
      </c>
      <c r="AQ24" s="7">
        <f>RANK(AP24,AP$8:AP$28,1)</f>
        <v>13</v>
      </c>
      <c r="AR24" s="7">
        <f>VLOOKUP(AQ24,'Место-баллы'!$A$3:$E$52,2,0)</f>
        <v>61</v>
      </c>
    </row>
    <row r="25" spans="2:44" x14ac:dyDescent="0.25">
      <c r="B25" s="7">
        <f>RANK(C25,C$8:C$28,0)</f>
        <v>18</v>
      </c>
      <c r="C25" s="7">
        <f>SUMIF($H$1:$AR$1,1,$H25:$AR25)</f>
        <v>269</v>
      </c>
      <c r="D25" s="10"/>
      <c r="E25" s="13" t="s">
        <v>123</v>
      </c>
      <c r="F25" s="13" t="s">
        <v>131</v>
      </c>
      <c r="G25" s="10"/>
      <c r="H25" s="7">
        <v>75</v>
      </c>
      <c r="I25" s="7">
        <f>RANK(H25,H$8:H$28,0)</f>
        <v>8</v>
      </c>
      <c r="J25" s="7">
        <f>VLOOKUP(I25,'Место-баллы'!$A$3:$E$52,2,0)</f>
        <v>71</v>
      </c>
      <c r="K25" s="10"/>
      <c r="L25" s="7">
        <f>7*75</f>
        <v>525</v>
      </c>
      <c r="M25" s="7">
        <f>RANK(L25,L$8:L$28,0)</f>
        <v>19</v>
      </c>
      <c r="N25" s="7">
        <f>VLOOKUP(M25,'Место-баллы'!$A$3:$E$52,2,0)</f>
        <v>49</v>
      </c>
      <c r="O25" s="10"/>
      <c r="P25" s="7">
        <v>8</v>
      </c>
      <c r="Q25" s="7">
        <v>5</v>
      </c>
      <c r="R25" s="14">
        <f>TIME(0,P25,Q25)</f>
        <v>5.6134259259259271E-3</v>
      </c>
      <c r="S25" s="7">
        <v>81</v>
      </c>
      <c r="T25" s="7">
        <f>S$2-S25</f>
        <v>54</v>
      </c>
      <c r="U25" s="14">
        <f>R25+TIME(0,0,T25)</f>
        <v>6.2384259259259268E-3</v>
      </c>
      <c r="V25" s="7">
        <f>RANK(U25,U$8:U$28,1)</f>
        <v>19</v>
      </c>
      <c r="W25" s="7">
        <f>VLOOKUP(V25,'Место-баллы'!$A$3:$E$52,2,0)</f>
        <v>49</v>
      </c>
      <c r="X25" s="10"/>
      <c r="Y25" s="7"/>
      <c r="Z25" s="7"/>
      <c r="AA25" s="14"/>
      <c r="AB25" s="7">
        <v>12</v>
      </c>
      <c r="AC25" s="7">
        <v>5</v>
      </c>
      <c r="AD25" s="14">
        <f>TIME(0,AB25,AC25)</f>
        <v>8.3912037037037045E-3</v>
      </c>
      <c r="AE25" s="7">
        <v>225</v>
      </c>
      <c r="AF25" s="7">
        <f>AE$2-AE25</f>
        <v>175</v>
      </c>
      <c r="AG25" s="14">
        <f>AD25+TIME(0,0,AF25)</f>
        <v>1.0416666666666668E-2</v>
      </c>
      <c r="AH25" s="7">
        <f>RANK(AG25,AG$8:AG$28,1)</f>
        <v>18</v>
      </c>
      <c r="AI25" s="7">
        <f>VLOOKUP(AH25,'Место-баллы'!$A$3:$E$52,2,0)</f>
        <v>51</v>
      </c>
      <c r="AJ25" s="10"/>
      <c r="AK25" s="7">
        <v>8</v>
      </c>
      <c r="AL25" s="7">
        <v>5</v>
      </c>
      <c r="AM25" s="14">
        <f>TIME(0,AK25,AL25)</f>
        <v>5.6134259259259271E-3</v>
      </c>
      <c r="AN25" s="7">
        <v>150</v>
      </c>
      <c r="AO25" s="7">
        <f>AN$2-AN25</f>
        <v>10</v>
      </c>
      <c r="AP25" s="14">
        <f>AM25+TIME(0,0,AO25)</f>
        <v>5.729166666666668E-3</v>
      </c>
      <c r="AQ25" s="7">
        <f>RANK(AP25,AP$8:AP$28,1)</f>
        <v>19</v>
      </c>
      <c r="AR25" s="7">
        <f>VLOOKUP(AQ25,'Место-баллы'!$A$3:$E$52,2,0)</f>
        <v>49</v>
      </c>
    </row>
    <row r="26" spans="2:44" x14ac:dyDescent="0.25">
      <c r="B26" s="7">
        <f>RANK(C26,C$8:C$28,0)</f>
        <v>19</v>
      </c>
      <c r="C26" s="7">
        <f>SUMIF($H$1:$AR$1,1,$H26:$AR26)</f>
        <v>263</v>
      </c>
      <c r="D26" s="10"/>
      <c r="E26" s="13" t="s">
        <v>106</v>
      </c>
      <c r="F26" s="13" t="s">
        <v>98</v>
      </c>
      <c r="G26" s="10"/>
      <c r="H26" s="7">
        <v>55</v>
      </c>
      <c r="I26" s="7">
        <f>RANK(H26,H$8:H$28,0)</f>
        <v>16</v>
      </c>
      <c r="J26" s="7">
        <f>VLOOKUP(I26,'Место-баллы'!$A$3:$E$52,2,0)</f>
        <v>55</v>
      </c>
      <c r="K26" s="10"/>
      <c r="L26" s="7">
        <f>11*55</f>
        <v>605</v>
      </c>
      <c r="M26" s="7">
        <f>RANK(L26,L$8:L$28,0)</f>
        <v>16</v>
      </c>
      <c r="N26" s="7">
        <f>VLOOKUP(M26,'Место-баллы'!$A$3:$E$52,2,0)</f>
        <v>55</v>
      </c>
      <c r="O26" s="10"/>
      <c r="P26" s="7">
        <v>8</v>
      </c>
      <c r="Q26" s="7">
        <v>5</v>
      </c>
      <c r="R26" s="14">
        <f>TIME(0,P26,Q26)</f>
        <v>5.6134259259259271E-3</v>
      </c>
      <c r="S26" s="7">
        <v>89</v>
      </c>
      <c r="T26" s="7">
        <f>S$2-S26</f>
        <v>46</v>
      </c>
      <c r="U26" s="14">
        <f>R26+TIME(0,0,T26)</f>
        <v>6.1458333333333347E-3</v>
      </c>
      <c r="V26" s="7">
        <f>RANK(U26,U$8:U$28,1)</f>
        <v>18</v>
      </c>
      <c r="W26" s="7">
        <f>VLOOKUP(V26,'Место-баллы'!$A$3:$E$52,2,0)</f>
        <v>51</v>
      </c>
      <c r="X26" s="10"/>
      <c r="Y26" s="7"/>
      <c r="Z26" s="7"/>
      <c r="AA26" s="14"/>
      <c r="AB26" s="7">
        <v>12</v>
      </c>
      <c r="AC26" s="7">
        <v>5</v>
      </c>
      <c r="AD26" s="14">
        <f>TIME(0,AB26,AC26)</f>
        <v>8.3912037037037045E-3</v>
      </c>
      <c r="AE26" s="7">
        <v>225</v>
      </c>
      <c r="AF26" s="7">
        <f>AE$2-AE26</f>
        <v>175</v>
      </c>
      <c r="AG26" s="14">
        <f>AD26+TIME(0,0,AF26)</f>
        <v>1.0416666666666668E-2</v>
      </c>
      <c r="AH26" s="7">
        <f>RANK(AG26,AG$8:AG$28,1)</f>
        <v>18</v>
      </c>
      <c r="AI26" s="7">
        <f>VLOOKUP(AH26,'Место-баллы'!$A$3:$E$52,2,0)</f>
        <v>51</v>
      </c>
      <c r="AJ26" s="10"/>
      <c r="AK26" s="7">
        <v>8</v>
      </c>
      <c r="AL26" s="7">
        <v>5</v>
      </c>
      <c r="AM26" s="14">
        <f>TIME(0,AK26,AL26)</f>
        <v>5.6134259259259271E-3</v>
      </c>
      <c r="AN26" s="7">
        <v>152</v>
      </c>
      <c r="AO26" s="7">
        <f>AN$2-AN26</f>
        <v>8</v>
      </c>
      <c r="AP26" s="14">
        <f>AM26+TIME(0,0,AO26)</f>
        <v>5.70601851851852E-3</v>
      </c>
      <c r="AQ26" s="7">
        <f>RANK(AP26,AP$8:AP$28,1)</f>
        <v>18</v>
      </c>
      <c r="AR26" s="7">
        <f>VLOOKUP(AQ26,'Место-баллы'!$A$3:$E$52,2,0)</f>
        <v>51</v>
      </c>
    </row>
    <row r="27" spans="2:44" x14ac:dyDescent="0.25">
      <c r="B27" s="7">
        <f>RANK(C27,C$8:C$28,0)</f>
        <v>20</v>
      </c>
      <c r="C27" s="7">
        <f>SUMIF($H$1:$AR$1,1,$H27:$AR27)</f>
        <v>237</v>
      </c>
      <c r="D27" s="10"/>
      <c r="E27" s="13" t="s">
        <v>112</v>
      </c>
      <c r="F27" s="13" t="s">
        <v>98</v>
      </c>
      <c r="G27" s="10"/>
      <c r="H27" s="7">
        <v>50</v>
      </c>
      <c r="I27" s="7">
        <f>RANK(H27,H$8:H$28,0)</f>
        <v>19</v>
      </c>
      <c r="J27" s="7">
        <f>VLOOKUP(I27,'Место-баллы'!$A$3:$E$52,2,0)</f>
        <v>49</v>
      </c>
      <c r="K27" s="10"/>
      <c r="L27" s="7">
        <f>9*50</f>
        <v>450</v>
      </c>
      <c r="M27" s="7">
        <f>RANK(L27,L$8:L$28,0)</f>
        <v>20</v>
      </c>
      <c r="N27" s="7">
        <f>VLOOKUP(M27,'Место-баллы'!$A$3:$E$52,2,0)</f>
        <v>47</v>
      </c>
      <c r="O27" s="10"/>
      <c r="P27" s="7">
        <v>8</v>
      </c>
      <c r="Q27" s="7">
        <v>5</v>
      </c>
      <c r="R27" s="14">
        <f>TIME(0,P27,Q27)</f>
        <v>5.6134259259259271E-3</v>
      </c>
      <c r="S27" s="7">
        <v>45</v>
      </c>
      <c r="T27" s="7">
        <f>S$2-S27</f>
        <v>90</v>
      </c>
      <c r="U27" s="14">
        <f>R27+TIME(0,0,T27)</f>
        <v>6.6550925925925935E-3</v>
      </c>
      <c r="V27" s="7">
        <f>RANK(U27,U$8:U$28,1)</f>
        <v>20</v>
      </c>
      <c r="W27" s="7">
        <f>VLOOKUP(V27,'Место-баллы'!$A$3:$E$52,2,0)</f>
        <v>47</v>
      </c>
      <c r="X27" s="10"/>
      <c r="Y27" s="7"/>
      <c r="Z27" s="7"/>
      <c r="AA27" s="14"/>
      <c r="AB27" s="7">
        <v>12</v>
      </c>
      <c r="AC27" s="7">
        <v>5</v>
      </c>
      <c r="AD27" s="14">
        <f>TIME(0,AB27,AC27)</f>
        <v>8.3912037037037045E-3</v>
      </c>
      <c r="AE27" s="7">
        <f>75+104</f>
        <v>179</v>
      </c>
      <c r="AF27" s="7">
        <f>AE$2-AE27</f>
        <v>221</v>
      </c>
      <c r="AG27" s="14">
        <f>AD27+TIME(0,0,AF27)</f>
        <v>1.0949074074074075E-2</v>
      </c>
      <c r="AH27" s="7">
        <f>RANK(AG27,AG$8:AG$28,1)</f>
        <v>20</v>
      </c>
      <c r="AI27" s="7">
        <f>VLOOKUP(AH27,'Место-баллы'!$A$3:$E$52,2,0)</f>
        <v>47</v>
      </c>
      <c r="AJ27" s="10"/>
      <c r="AK27" s="7">
        <v>8</v>
      </c>
      <c r="AL27" s="7">
        <v>5</v>
      </c>
      <c r="AM27" s="14">
        <f>TIME(0,AK27,AL27)</f>
        <v>5.6134259259259271E-3</v>
      </c>
      <c r="AN27" s="7">
        <v>132</v>
      </c>
      <c r="AO27" s="7">
        <f>AN$2-AN27</f>
        <v>28</v>
      </c>
      <c r="AP27" s="14">
        <f>AM27+TIME(0,0,AO27)</f>
        <v>5.9375000000000009E-3</v>
      </c>
      <c r="AQ27" s="7">
        <f>RANK(AP27,AP$8:AP$28,1)</f>
        <v>20</v>
      </c>
      <c r="AR27" s="7">
        <f>VLOOKUP(AQ27,'Место-баллы'!$A$3:$E$52,2,0)</f>
        <v>47</v>
      </c>
    </row>
    <row r="28" spans="2:44" x14ac:dyDescent="0.25">
      <c r="B28" s="7">
        <f>RANK(C28,C$8:C$28,0)</f>
        <v>21</v>
      </c>
      <c r="C28" s="7">
        <f>SUMIF($H$1:$AR$1,1,$H28:$AR28)</f>
        <v>135</v>
      </c>
      <c r="D28" s="10"/>
      <c r="E28" s="13" t="s">
        <v>116</v>
      </c>
      <c r="F28" s="13" t="s">
        <v>128</v>
      </c>
      <c r="G28" s="10"/>
      <c r="H28" s="7">
        <v>45</v>
      </c>
      <c r="I28" s="7">
        <f>RANK(H28,H$8:H$28,0)</f>
        <v>21</v>
      </c>
      <c r="J28" s="7">
        <f>VLOOKUP(I28,'Место-баллы'!$A$3:$E$52,2,0)</f>
        <v>45</v>
      </c>
      <c r="K28" s="10"/>
      <c r="L28" s="7">
        <f>8*45</f>
        <v>360</v>
      </c>
      <c r="M28" s="7">
        <f>RANK(L28,L$8:L$28,0)</f>
        <v>21</v>
      </c>
      <c r="N28" s="7">
        <f>VLOOKUP(M28,'Место-баллы'!$A$3:$E$52,2,0)</f>
        <v>45</v>
      </c>
      <c r="O28" s="10"/>
      <c r="P28" s="7">
        <v>8</v>
      </c>
      <c r="Q28" s="7">
        <v>5</v>
      </c>
      <c r="R28" s="14">
        <f>TIME(0,P28,Q28)</f>
        <v>5.6134259259259271E-3</v>
      </c>
      <c r="S28" s="7">
        <v>0</v>
      </c>
      <c r="T28" s="7">
        <f>S$2-S28</f>
        <v>135</v>
      </c>
      <c r="U28" s="14">
        <f>R28+TIME(0,0,T28)</f>
        <v>7.1759259259259267E-3</v>
      </c>
      <c r="V28" s="7">
        <f>RANK(U28,U$8:U$28,1)</f>
        <v>21</v>
      </c>
      <c r="W28" s="7">
        <f>VLOOKUP(V28,'Место-баллы'!$A$3:$E$52,2,0)</f>
        <v>45</v>
      </c>
      <c r="X28" s="10"/>
      <c r="Y28" s="7"/>
      <c r="Z28" s="7"/>
      <c r="AA28" s="14"/>
      <c r="AB28" s="7"/>
      <c r="AC28" s="7"/>
      <c r="AD28" s="14"/>
      <c r="AE28" s="7"/>
      <c r="AF28" s="7"/>
      <c r="AG28" s="14"/>
      <c r="AH28" s="7"/>
      <c r="AI28" s="7">
        <v>0</v>
      </c>
      <c r="AJ28" s="10"/>
      <c r="AK28" s="7"/>
      <c r="AL28" s="7"/>
      <c r="AM28" s="14"/>
      <c r="AN28" s="7"/>
      <c r="AO28" s="7"/>
      <c r="AP28" s="14"/>
      <c r="AQ28" s="7"/>
      <c r="AR28" s="7">
        <v>0</v>
      </c>
    </row>
    <row r="29" spans="2:44" ht="15.75" customHeight="1" x14ac:dyDescent="0.25"/>
    <row r="30" spans="2:44" ht="15.75" customHeight="1" x14ac:dyDescent="0.25"/>
    <row r="31" spans="2:44" ht="15.75" customHeight="1" x14ac:dyDescent="0.25"/>
    <row r="32" spans="2:44" ht="15.75" customHeight="1" x14ac:dyDescent="0.25"/>
    <row r="33" ht="15.75" customHeight="1" x14ac:dyDescent="0.25"/>
    <row r="34" ht="15.75" customHeight="1" x14ac:dyDescent="0.25"/>
  </sheetData>
  <autoFilter ref="B7:AR7" xr:uid="{39D70D12-7DA1-438A-9BA2-EF09F2740E70}">
    <sortState xmlns:xlrd2="http://schemas.microsoft.com/office/spreadsheetml/2017/richdata2" ref="B8:AR28">
      <sortCondition ref="B7"/>
    </sortState>
  </autoFilter>
  <mergeCells count="7">
    <mergeCell ref="AK5:AR6"/>
    <mergeCell ref="B5:C6"/>
    <mergeCell ref="E5:F6"/>
    <mergeCell ref="H5:J6"/>
    <mergeCell ref="P5:W6"/>
    <mergeCell ref="Y5:AI6"/>
    <mergeCell ref="L5:N6"/>
  </mergeCells>
  <printOptions horizontalCentered="1" verticalCentered="1"/>
  <pageMargins left="0" right="0" top="0" bottom="0" header="0" footer="0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66BB-F8E8-48C9-BA60-25D971A3C3CA}">
  <sheetPr>
    <pageSetUpPr fitToPage="1"/>
  </sheetPr>
  <dimension ref="B1:AR32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S1" sqref="AS1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9.7109375" bestFit="1" customWidth="1"/>
    <col min="6" max="6" width="25.2851562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7.5703125" customWidth="1"/>
    <col min="13" max="13" width="7.140625" customWidth="1"/>
    <col min="14" max="14" width="6.85546875" customWidth="1"/>
    <col min="15" max="15" width="1.42578125" customWidth="1"/>
    <col min="16" max="16" width="5.140625" hidden="1" customWidth="1" outlineLevel="1"/>
    <col min="17" max="17" width="4.28515625" hidden="1" customWidth="1" outlineLevel="1"/>
    <col min="18" max="18" width="7.140625" customWidth="1" collapsed="1"/>
    <col min="19" max="19" width="6.85546875" customWidth="1"/>
    <col min="20" max="20" width="7.85546875" hidden="1" customWidth="1" outlineLevel="1"/>
    <col min="21" max="21" width="7.140625" hidden="1" customWidth="1" outlineLevel="1"/>
    <col min="22" max="22" width="7.140625" customWidth="1" collapsed="1"/>
    <col min="23" max="23" width="6.85546875" customWidth="1"/>
    <col min="24" max="24" width="1.42578125" customWidth="1"/>
    <col min="25" max="25" width="5.140625" hidden="1" customWidth="1" outlineLevel="1"/>
    <col min="26" max="26" width="4.28515625" hidden="1" customWidth="1" outlineLevel="1"/>
    <col min="27" max="27" width="9.140625" bestFit="1" customWidth="1" collapsed="1"/>
    <col min="28" max="28" width="5.140625" hidden="1" customWidth="1" outlineLevel="1"/>
    <col min="29" max="29" width="4.28515625" hidden="1" customWidth="1" outlineLevel="1"/>
    <col min="30" max="30" width="7.140625" customWidth="1" collapsed="1"/>
    <col min="31" max="31" width="6.85546875" customWidth="1"/>
    <col min="32" max="32" width="7.85546875" hidden="1" customWidth="1" outlineLevel="1"/>
    <col min="33" max="33" width="7.140625" hidden="1" customWidth="1" outlineLevel="1"/>
    <col min="34" max="34" width="7.140625" customWidth="1" collapsed="1"/>
    <col min="35" max="35" width="6.85546875" customWidth="1"/>
    <col min="36" max="36" width="1.42578125" customWidth="1"/>
    <col min="37" max="37" width="5.140625" hidden="1" customWidth="1" outlineLevel="1"/>
    <col min="38" max="38" width="4.28515625" hidden="1" customWidth="1" outlineLevel="1"/>
    <col min="39" max="39" width="7.140625" customWidth="1" collapsed="1"/>
    <col min="40" max="40" width="6.85546875" customWidth="1"/>
    <col min="41" max="41" width="7.85546875" hidden="1" customWidth="1" outlineLevel="1"/>
    <col min="42" max="42" width="7.140625" hidden="1" customWidth="1" outlineLevel="1"/>
    <col min="43" max="43" width="7.140625" customWidth="1" collapsed="1"/>
    <col min="44" max="44" width="6.85546875" customWidth="1"/>
  </cols>
  <sheetData>
    <row r="1" spans="2:44" x14ac:dyDescent="0.25">
      <c r="E1" s="12"/>
      <c r="F1" s="12"/>
      <c r="H1" s="3"/>
      <c r="I1" s="3"/>
      <c r="J1" s="4">
        <v>1</v>
      </c>
      <c r="L1" s="3"/>
      <c r="M1" s="3"/>
      <c r="N1" s="4">
        <v>1</v>
      </c>
      <c r="P1" s="3"/>
      <c r="Q1" s="3"/>
      <c r="R1" s="3"/>
      <c r="S1" s="3"/>
      <c r="T1" s="3"/>
      <c r="U1" s="3"/>
      <c r="V1" s="3"/>
      <c r="W1" s="4">
        <v>1</v>
      </c>
      <c r="AB1" s="3"/>
      <c r="AC1" s="3"/>
      <c r="AD1" s="3"/>
      <c r="AE1" s="3"/>
      <c r="AF1" s="3"/>
      <c r="AG1" s="3"/>
      <c r="AH1" s="3"/>
      <c r="AI1" s="4">
        <v>1</v>
      </c>
      <c r="AK1" s="3"/>
      <c r="AL1" s="3"/>
      <c r="AM1" s="3"/>
      <c r="AN1" s="3"/>
      <c r="AO1" s="3"/>
      <c r="AP1" s="3"/>
      <c r="AQ1" s="3"/>
      <c r="AR1" s="4">
        <v>1</v>
      </c>
    </row>
    <row r="2" spans="2:44" x14ac:dyDescent="0.25">
      <c r="E2" s="12"/>
      <c r="F2" s="12"/>
      <c r="H2" s="3"/>
      <c r="I2" s="3"/>
      <c r="J2" s="3"/>
      <c r="L2" s="3"/>
      <c r="M2" s="3"/>
      <c r="N2" s="3"/>
      <c r="P2" s="3"/>
      <c r="Q2" s="3"/>
      <c r="R2" s="3"/>
      <c r="S2" s="5">
        <v>135</v>
      </c>
      <c r="T2" s="3"/>
      <c r="U2" s="3"/>
      <c r="V2" s="3"/>
      <c r="W2" s="3"/>
      <c r="AB2" s="3"/>
      <c r="AC2" s="3"/>
      <c r="AD2" s="3"/>
      <c r="AE2" s="5">
        <v>385</v>
      </c>
      <c r="AF2" s="3"/>
      <c r="AG2" s="3"/>
      <c r="AH2" s="3"/>
      <c r="AI2" s="3"/>
      <c r="AK2" s="3"/>
      <c r="AL2" s="3"/>
      <c r="AM2" s="3"/>
      <c r="AN2" s="5">
        <v>160</v>
      </c>
      <c r="AO2" s="3"/>
      <c r="AP2" s="3"/>
      <c r="AQ2" s="3"/>
      <c r="AR2" s="3"/>
    </row>
    <row r="3" spans="2:44" x14ac:dyDescent="0.25">
      <c r="E3" s="12"/>
      <c r="F3" s="12"/>
      <c r="H3" s="6"/>
      <c r="I3" s="3"/>
      <c r="J3" s="3"/>
      <c r="L3" s="6"/>
      <c r="M3" s="3"/>
      <c r="N3" s="3"/>
      <c r="P3" s="3"/>
      <c r="Q3" s="3"/>
      <c r="R3" s="3"/>
      <c r="S3" s="6" t="s">
        <v>47</v>
      </c>
      <c r="T3" s="3"/>
      <c r="U3" s="3"/>
      <c r="V3" s="3"/>
      <c r="W3" s="3"/>
      <c r="AB3" s="3"/>
      <c r="AC3" s="3"/>
      <c r="AD3" s="3"/>
      <c r="AE3" s="6" t="s">
        <v>24</v>
      </c>
      <c r="AF3" s="3"/>
      <c r="AG3" s="3"/>
      <c r="AH3" s="3"/>
      <c r="AI3" s="3"/>
      <c r="AK3" s="3"/>
      <c r="AL3" s="3"/>
      <c r="AM3" s="3"/>
      <c r="AN3" s="6" t="s">
        <v>47</v>
      </c>
      <c r="AO3" s="3"/>
      <c r="AP3" s="3"/>
      <c r="AQ3" s="3"/>
      <c r="AR3" s="3"/>
    </row>
    <row r="4" spans="2:44" x14ac:dyDescent="0.25">
      <c r="H4" s="3"/>
      <c r="I4" s="3"/>
      <c r="J4" s="3"/>
      <c r="L4" s="3"/>
      <c r="M4" s="3"/>
      <c r="N4" s="3"/>
      <c r="P4" s="3"/>
      <c r="Q4" s="3"/>
      <c r="R4" s="3"/>
      <c r="S4" s="3"/>
      <c r="T4" s="3"/>
      <c r="U4" s="3"/>
      <c r="V4" s="3"/>
      <c r="W4" s="3"/>
      <c r="AB4" s="3"/>
      <c r="AC4" s="3"/>
      <c r="AD4" s="3"/>
      <c r="AE4" s="3"/>
      <c r="AF4" s="3"/>
      <c r="AG4" s="3"/>
      <c r="AH4" s="3"/>
      <c r="AI4" s="3"/>
      <c r="AK4" s="3"/>
      <c r="AL4" s="3"/>
      <c r="AM4" s="3"/>
      <c r="AN4" s="3"/>
      <c r="AO4" s="3"/>
      <c r="AP4" s="3"/>
      <c r="AQ4" s="3"/>
      <c r="AR4" s="3"/>
    </row>
    <row r="5" spans="2:44" ht="15" customHeight="1" x14ac:dyDescent="0.25">
      <c r="B5" s="23" t="s">
        <v>4</v>
      </c>
      <c r="C5" s="24"/>
      <c r="D5" s="7"/>
      <c r="E5" s="25" t="s">
        <v>46</v>
      </c>
      <c r="F5" s="26"/>
      <c r="G5" s="7"/>
      <c r="H5" s="25" t="s">
        <v>22</v>
      </c>
      <c r="I5" s="29"/>
      <c r="J5" s="26"/>
      <c r="K5" s="7"/>
      <c r="L5" s="25" t="s">
        <v>23</v>
      </c>
      <c r="M5" s="29"/>
      <c r="N5" s="26"/>
      <c r="O5" s="7"/>
      <c r="P5" s="23" t="s">
        <v>45</v>
      </c>
      <c r="Q5" s="24"/>
      <c r="R5" s="24"/>
      <c r="S5" s="24"/>
      <c r="T5" s="24"/>
      <c r="U5" s="24"/>
      <c r="V5" s="24"/>
      <c r="W5" s="24"/>
      <c r="X5" s="7"/>
      <c r="Y5" s="25" t="s">
        <v>5</v>
      </c>
      <c r="Z5" s="29"/>
      <c r="AA5" s="29"/>
      <c r="AB5" s="29"/>
      <c r="AC5" s="29"/>
      <c r="AD5" s="29"/>
      <c r="AE5" s="29"/>
      <c r="AF5" s="29"/>
      <c r="AG5" s="29"/>
      <c r="AH5" s="29"/>
      <c r="AI5" s="26"/>
      <c r="AJ5" s="7"/>
      <c r="AK5" s="23" t="s">
        <v>6</v>
      </c>
      <c r="AL5" s="24"/>
      <c r="AM5" s="24"/>
      <c r="AN5" s="24"/>
      <c r="AO5" s="24"/>
      <c r="AP5" s="24"/>
      <c r="AQ5" s="24"/>
      <c r="AR5" s="24"/>
    </row>
    <row r="6" spans="2:44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7"/>
      <c r="M6" s="30"/>
      <c r="N6" s="28"/>
      <c r="O6" s="8"/>
      <c r="P6" s="24"/>
      <c r="Q6" s="24"/>
      <c r="R6" s="24"/>
      <c r="S6" s="24"/>
      <c r="T6" s="24"/>
      <c r="U6" s="24"/>
      <c r="V6" s="24"/>
      <c r="W6" s="24"/>
      <c r="X6" s="8"/>
      <c r="Y6" s="27"/>
      <c r="Z6" s="30"/>
      <c r="AA6" s="30"/>
      <c r="AB6" s="30"/>
      <c r="AC6" s="30"/>
      <c r="AD6" s="30"/>
      <c r="AE6" s="30"/>
      <c r="AF6" s="30"/>
      <c r="AG6" s="30"/>
      <c r="AH6" s="30"/>
      <c r="AI6" s="28"/>
      <c r="AJ6" s="8"/>
      <c r="AK6" s="24"/>
      <c r="AL6" s="24"/>
      <c r="AM6" s="24"/>
      <c r="AN6" s="24"/>
      <c r="AO6" s="24"/>
      <c r="AP6" s="24"/>
      <c r="AQ6" s="24"/>
      <c r="AR6" s="24"/>
    </row>
    <row r="7" spans="2:44" ht="25.5" x14ac:dyDescent="0.25">
      <c r="B7" s="18" t="s">
        <v>8</v>
      </c>
      <c r="C7" s="18" t="s">
        <v>9</v>
      </c>
      <c r="D7" s="9"/>
      <c r="E7" s="15" t="s">
        <v>44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8" t="s">
        <v>31</v>
      </c>
      <c r="M7" s="11" t="s">
        <v>14</v>
      </c>
      <c r="N7" s="11" t="s">
        <v>15</v>
      </c>
      <c r="O7" s="9"/>
      <c r="P7" s="11" t="s">
        <v>11</v>
      </c>
      <c r="Q7" s="11" t="s">
        <v>12</v>
      </c>
      <c r="R7" s="11" t="s">
        <v>13</v>
      </c>
      <c r="S7" s="18" t="s">
        <v>16</v>
      </c>
      <c r="T7" s="11" t="s">
        <v>17</v>
      </c>
      <c r="U7" s="11" t="s">
        <v>13</v>
      </c>
      <c r="V7" s="11" t="s">
        <v>14</v>
      </c>
      <c r="W7" s="11" t="s">
        <v>15</v>
      </c>
      <c r="X7" s="9"/>
      <c r="Y7" s="11" t="s">
        <v>11</v>
      </c>
      <c r="Z7" s="11" t="s">
        <v>12</v>
      </c>
      <c r="AA7" s="11" t="s">
        <v>27</v>
      </c>
      <c r="AB7" s="11" t="s">
        <v>11</v>
      </c>
      <c r="AC7" s="11" t="s">
        <v>12</v>
      </c>
      <c r="AD7" s="11" t="s">
        <v>13</v>
      </c>
      <c r="AE7" s="18" t="s">
        <v>16</v>
      </c>
      <c r="AF7" s="11" t="s">
        <v>17</v>
      </c>
      <c r="AG7" s="11" t="s">
        <v>13</v>
      </c>
      <c r="AH7" s="11" t="s">
        <v>14</v>
      </c>
      <c r="AI7" s="11" t="s">
        <v>15</v>
      </c>
      <c r="AJ7" s="9"/>
      <c r="AK7" s="11" t="s">
        <v>11</v>
      </c>
      <c r="AL7" s="11" t="s">
        <v>12</v>
      </c>
      <c r="AM7" s="11" t="s">
        <v>13</v>
      </c>
      <c r="AN7" s="18" t="s">
        <v>16</v>
      </c>
      <c r="AO7" s="11" t="s">
        <v>17</v>
      </c>
      <c r="AP7" s="11" t="s">
        <v>13</v>
      </c>
      <c r="AQ7" s="11" t="s">
        <v>14</v>
      </c>
      <c r="AR7" s="11" t="s">
        <v>15</v>
      </c>
    </row>
    <row r="8" spans="2:44" x14ac:dyDescent="0.25">
      <c r="B8" s="7">
        <f>RANK(C8,C$8:C$29,0)</f>
        <v>1</v>
      </c>
      <c r="C8" s="7">
        <f>SUMIF($H$1:$AR$1,1,$H8:$AR8)</f>
        <v>453</v>
      </c>
      <c r="D8" s="10"/>
      <c r="E8" s="13" t="s">
        <v>92</v>
      </c>
      <c r="F8" s="13" t="s">
        <v>98</v>
      </c>
      <c r="G8" s="10"/>
      <c r="H8" s="7">
        <v>80</v>
      </c>
      <c r="I8" s="7">
        <f>RANK(H8,H$8:H$29,0)</f>
        <v>2</v>
      </c>
      <c r="J8" s="7">
        <f>VLOOKUP(I8,'Место-баллы'!$A$3:$E$52,2,0)</f>
        <v>95</v>
      </c>
      <c r="K8" s="10"/>
      <c r="L8" s="7">
        <f>10*80</f>
        <v>800</v>
      </c>
      <c r="M8" s="7">
        <f>RANK(L8,L$8:L$29,0)</f>
        <v>7</v>
      </c>
      <c r="N8" s="7">
        <f>VLOOKUP(M8,'Место-баллы'!$A$3:$E$52,2,0)</f>
        <v>73</v>
      </c>
      <c r="O8" s="10"/>
      <c r="P8" s="7">
        <v>6</v>
      </c>
      <c r="Q8" s="7">
        <v>44</v>
      </c>
      <c r="R8" s="14">
        <f>TIME(0,P8,Q8)</f>
        <v>4.6759259259259263E-3</v>
      </c>
      <c r="S8" s="7">
        <v>135</v>
      </c>
      <c r="T8" s="7">
        <f>S$2-S8</f>
        <v>0</v>
      </c>
      <c r="U8" s="14">
        <f>R8+TIME(0,0,T8)</f>
        <v>4.6759259259259263E-3</v>
      </c>
      <c r="V8" s="7">
        <f>RANK(U8,U$8:U$29,1)</f>
        <v>2</v>
      </c>
      <c r="W8" s="7">
        <f>VLOOKUP(V8,'Место-баллы'!$A$3:$E$52,2,0)</f>
        <v>95</v>
      </c>
      <c r="X8" s="10"/>
      <c r="Y8" s="7">
        <v>6</v>
      </c>
      <c r="Z8" s="7">
        <v>50</v>
      </c>
      <c r="AA8" s="14"/>
      <c r="AB8" s="7">
        <v>8</v>
      </c>
      <c r="AC8" s="7">
        <v>12</v>
      </c>
      <c r="AD8" s="14">
        <f>TIME(0,AB8,AC8)</f>
        <v>5.6944444444444438E-3</v>
      </c>
      <c r="AE8" s="7">
        <v>385</v>
      </c>
      <c r="AF8" s="7">
        <f>AE$2-AE8</f>
        <v>0</v>
      </c>
      <c r="AG8" s="14">
        <f>AD8+TIME(0,0,AF8)</f>
        <v>5.6944444444444438E-3</v>
      </c>
      <c r="AH8" s="7">
        <f>RANK(AG8,AG$8:AG$29,1)</f>
        <v>3</v>
      </c>
      <c r="AI8" s="7">
        <f>VLOOKUP(AH8,'Место-баллы'!$A$3:$E$52,2,0)</f>
        <v>90</v>
      </c>
      <c r="AJ8" s="10"/>
      <c r="AK8" s="7">
        <v>7</v>
      </c>
      <c r="AL8" s="7">
        <v>8</v>
      </c>
      <c r="AM8" s="14">
        <f>TIME(0,AK8,AL8)</f>
        <v>4.9537037037037041E-3</v>
      </c>
      <c r="AN8" s="7">
        <v>160</v>
      </c>
      <c r="AO8" s="7">
        <f>AN$2-AN8</f>
        <v>0</v>
      </c>
      <c r="AP8" s="14">
        <f>AM8+TIME(0,0,AO8)</f>
        <v>4.9537037037037041E-3</v>
      </c>
      <c r="AQ8" s="7">
        <f>RANK(AP8,AP$8:AP$29,1)</f>
        <v>1</v>
      </c>
      <c r="AR8" s="7">
        <f>VLOOKUP(AQ8,'Место-баллы'!$A$3:$E$52,2,0)</f>
        <v>100</v>
      </c>
    </row>
    <row r="9" spans="2:44" x14ac:dyDescent="0.25">
      <c r="B9" s="7">
        <f>RANK(C9,C$8:C$29,0)</f>
        <v>2</v>
      </c>
      <c r="C9" s="7">
        <f>SUMIF($H$1:$AR$1,1,$H9:$AR9)</f>
        <v>428</v>
      </c>
      <c r="D9" s="10"/>
      <c r="E9" s="13" t="s">
        <v>96</v>
      </c>
      <c r="F9" s="13" t="s">
        <v>104</v>
      </c>
      <c r="G9" s="10"/>
      <c r="H9" s="7">
        <v>70</v>
      </c>
      <c r="I9" s="7">
        <f>RANK(H9,H$8:H$29,0)</f>
        <v>5</v>
      </c>
      <c r="J9" s="7">
        <f>VLOOKUP(I9,'Место-баллы'!$A$3:$E$52,2,0)</f>
        <v>80</v>
      </c>
      <c r="K9" s="10"/>
      <c r="L9" s="7">
        <f>13*70</f>
        <v>910</v>
      </c>
      <c r="M9" s="7">
        <f>RANK(L9,L$8:L$29,0)</f>
        <v>2</v>
      </c>
      <c r="N9" s="7">
        <f>VLOOKUP(M9,'Место-баллы'!$A$3:$E$52,2,0)</f>
        <v>95</v>
      </c>
      <c r="O9" s="10"/>
      <c r="P9" s="7">
        <v>6</v>
      </c>
      <c r="Q9" s="7">
        <v>42</v>
      </c>
      <c r="R9" s="14">
        <f>TIME(0,P9,Q9)</f>
        <v>4.6527777777777774E-3</v>
      </c>
      <c r="S9" s="7">
        <v>135</v>
      </c>
      <c r="T9" s="7">
        <f>S$2-S9</f>
        <v>0</v>
      </c>
      <c r="U9" s="14">
        <f>R9+TIME(0,0,T9)</f>
        <v>4.6527777777777774E-3</v>
      </c>
      <c r="V9" s="7">
        <f>RANK(U9,U$8:U$29,1)</f>
        <v>1</v>
      </c>
      <c r="W9" s="7">
        <f>VLOOKUP(V9,'Место-баллы'!$A$3:$E$52,2,0)</f>
        <v>100</v>
      </c>
      <c r="X9" s="10"/>
      <c r="Y9" s="7">
        <v>7</v>
      </c>
      <c r="Z9" s="7">
        <v>21</v>
      </c>
      <c r="AA9" s="14"/>
      <c r="AB9" s="7">
        <v>8</v>
      </c>
      <c r="AC9" s="7">
        <v>35</v>
      </c>
      <c r="AD9" s="14">
        <f>TIME(0,AB9,AC9)</f>
        <v>5.9606481481481489E-3</v>
      </c>
      <c r="AE9" s="7">
        <v>385</v>
      </c>
      <c r="AF9" s="7">
        <f>AE$2-AE9</f>
        <v>0</v>
      </c>
      <c r="AG9" s="14">
        <f>AD9+TIME(0,0,AF9)</f>
        <v>5.9606481481481489E-3</v>
      </c>
      <c r="AH9" s="7">
        <f>RANK(AG9,AG$8:AG$29,1)</f>
        <v>7</v>
      </c>
      <c r="AI9" s="7">
        <f>VLOOKUP(AH9,'Место-баллы'!$A$3:$E$52,2,0)</f>
        <v>73</v>
      </c>
      <c r="AJ9" s="10"/>
      <c r="AK9" s="7">
        <v>7</v>
      </c>
      <c r="AL9" s="7">
        <v>39</v>
      </c>
      <c r="AM9" s="14">
        <f>TIME(0,AK9,AL9)</f>
        <v>5.3125000000000004E-3</v>
      </c>
      <c r="AN9" s="7">
        <v>160</v>
      </c>
      <c r="AO9" s="7">
        <f>AN$2-AN9</f>
        <v>0</v>
      </c>
      <c r="AP9" s="14">
        <f>AM9+TIME(0,0,AO9)</f>
        <v>5.3125000000000004E-3</v>
      </c>
      <c r="AQ9" s="7">
        <f>RANK(AP9,AP$8:AP$29,1)</f>
        <v>5</v>
      </c>
      <c r="AR9" s="7">
        <f>VLOOKUP(AQ9,'Место-баллы'!$A$3:$E$52,2,0)</f>
        <v>80</v>
      </c>
    </row>
    <row r="10" spans="2:44" x14ac:dyDescent="0.25">
      <c r="B10" s="7">
        <f>RANK(C10,C$8:C$29,0)</f>
        <v>3</v>
      </c>
      <c r="C10" s="7">
        <f>SUMIF($H$1:$AR$1,1,$H10:$AR10)</f>
        <v>425</v>
      </c>
      <c r="D10" s="10"/>
      <c r="E10" s="13" t="s">
        <v>97</v>
      </c>
      <c r="F10" s="13" t="s">
        <v>98</v>
      </c>
      <c r="G10" s="10"/>
      <c r="H10" s="7">
        <v>70</v>
      </c>
      <c r="I10" s="7">
        <f>RANK(H10,H$8:H$29,0)</f>
        <v>5</v>
      </c>
      <c r="J10" s="7">
        <f>VLOOKUP(I10,'Место-баллы'!$A$3:$E$52,2,0)</f>
        <v>80</v>
      </c>
      <c r="K10" s="10"/>
      <c r="L10" s="7">
        <f>16*70</f>
        <v>1120</v>
      </c>
      <c r="M10" s="7">
        <f>RANK(L10,L$8:L$29,0)</f>
        <v>1</v>
      </c>
      <c r="N10" s="7">
        <f>VLOOKUP(M10,'Место-баллы'!$A$3:$E$52,2,0)</f>
        <v>100</v>
      </c>
      <c r="O10" s="10"/>
      <c r="P10" s="7">
        <v>7</v>
      </c>
      <c r="Q10" s="7">
        <v>58</v>
      </c>
      <c r="R10" s="14">
        <f>TIME(0,P10,Q10)</f>
        <v>5.5324074074074069E-3</v>
      </c>
      <c r="S10" s="7">
        <v>135</v>
      </c>
      <c r="T10" s="7">
        <f>S$2-S10</f>
        <v>0</v>
      </c>
      <c r="U10" s="14">
        <f>R10+TIME(0,0,T10)</f>
        <v>5.5324074074074069E-3</v>
      </c>
      <c r="V10" s="7">
        <f>RANK(U10,U$8:U$29,1)</f>
        <v>4</v>
      </c>
      <c r="W10" s="7">
        <f>VLOOKUP(V10,'Место-баллы'!$A$3:$E$52,2,0)</f>
        <v>85</v>
      </c>
      <c r="X10" s="10"/>
      <c r="Y10" s="7">
        <v>7</v>
      </c>
      <c r="Z10" s="7">
        <v>11</v>
      </c>
      <c r="AA10" s="14"/>
      <c r="AB10" s="7">
        <v>8</v>
      </c>
      <c r="AC10" s="7">
        <v>34</v>
      </c>
      <c r="AD10" s="14">
        <f>TIME(0,AB10,AC10)</f>
        <v>5.9490740740740745E-3</v>
      </c>
      <c r="AE10" s="7">
        <v>385</v>
      </c>
      <c r="AF10" s="7">
        <f>AE$2-AE10</f>
        <v>0</v>
      </c>
      <c r="AG10" s="14">
        <f>AD10+TIME(0,0,AF10)</f>
        <v>5.9490740740740745E-3</v>
      </c>
      <c r="AH10" s="7">
        <f>RANK(AG10,AG$8:AG$29,1)</f>
        <v>6</v>
      </c>
      <c r="AI10" s="7">
        <f>VLOOKUP(AH10,'Место-баллы'!$A$3:$E$52,2,0)</f>
        <v>75</v>
      </c>
      <c r="AJ10" s="10"/>
      <c r="AK10" s="7">
        <v>7</v>
      </c>
      <c r="AL10" s="7">
        <v>35</v>
      </c>
      <c r="AM10" s="14">
        <f>TIME(0,AK10,AL10)</f>
        <v>5.2662037037037035E-3</v>
      </c>
      <c r="AN10" s="7">
        <v>160</v>
      </c>
      <c r="AO10" s="7">
        <f>AN$2-AN10</f>
        <v>0</v>
      </c>
      <c r="AP10" s="14">
        <f>AM10+TIME(0,0,AO10)</f>
        <v>5.2662037037037035E-3</v>
      </c>
      <c r="AQ10" s="7">
        <f>RANK(AP10,AP$8:AP$29,1)</f>
        <v>4</v>
      </c>
      <c r="AR10" s="7">
        <f>VLOOKUP(AQ10,'Место-баллы'!$A$3:$E$52,2,0)</f>
        <v>85</v>
      </c>
    </row>
    <row r="11" spans="2:44" x14ac:dyDescent="0.25">
      <c r="B11" s="7">
        <f>RANK(C11,C$8:C$29,0)</f>
        <v>4</v>
      </c>
      <c r="C11" s="7">
        <f>SUMIF($H$1:$AR$1,1,$H11:$AR11)</f>
        <v>412</v>
      </c>
      <c r="D11" s="10"/>
      <c r="E11" s="13" t="s">
        <v>86</v>
      </c>
      <c r="F11" s="13" t="s">
        <v>102</v>
      </c>
      <c r="G11" s="10"/>
      <c r="H11" s="7">
        <v>70</v>
      </c>
      <c r="I11" s="7">
        <f>RANK(H11,H$8:H$29,0)</f>
        <v>5</v>
      </c>
      <c r="J11" s="7">
        <f>VLOOKUP(I11,'Место-баллы'!$A$3:$E$52,2,0)</f>
        <v>80</v>
      </c>
      <c r="K11" s="10"/>
      <c r="L11" s="7">
        <f>11*70</f>
        <v>770</v>
      </c>
      <c r="M11" s="7">
        <f>RANK(L11,L$8:L$29,0)</f>
        <v>10</v>
      </c>
      <c r="N11" s="7">
        <f>VLOOKUP(M11,'Место-баллы'!$A$3:$E$52,2,0)</f>
        <v>67</v>
      </c>
      <c r="O11" s="10"/>
      <c r="P11" s="7">
        <v>8</v>
      </c>
      <c r="Q11" s="7">
        <v>5</v>
      </c>
      <c r="R11" s="14">
        <f>TIME(0,P11,Q11)</f>
        <v>5.6134259259259271E-3</v>
      </c>
      <c r="S11" s="7">
        <f>115+17</f>
        <v>132</v>
      </c>
      <c r="T11" s="7">
        <f>S$2-S11</f>
        <v>3</v>
      </c>
      <c r="U11" s="14">
        <f>R11+TIME(0,0,T11)</f>
        <v>5.6481481481481495E-3</v>
      </c>
      <c r="V11" s="7">
        <f>RANK(U11,U$8:U$29,1)</f>
        <v>5</v>
      </c>
      <c r="W11" s="7">
        <f>VLOOKUP(V11,'Место-баллы'!$A$3:$E$52,2,0)</f>
        <v>80</v>
      </c>
      <c r="X11" s="10"/>
      <c r="Y11" s="7">
        <v>6</v>
      </c>
      <c r="Z11" s="7">
        <v>20</v>
      </c>
      <c r="AA11" s="14"/>
      <c r="AB11" s="7">
        <v>7</v>
      </c>
      <c r="AC11" s="32">
        <v>43</v>
      </c>
      <c r="AD11" s="14">
        <f>TIME(0,AB11,AC11)</f>
        <v>5.3587962962962964E-3</v>
      </c>
      <c r="AE11" s="7">
        <v>385</v>
      </c>
      <c r="AF11" s="7">
        <f>AE$2-AE11</f>
        <v>0</v>
      </c>
      <c r="AG11" s="14">
        <f>AD11+TIME(0,0,AF11)</f>
        <v>5.3587962962962964E-3</v>
      </c>
      <c r="AH11" s="7">
        <f>RANK(AG11,AG$8:AG$29,1)</f>
        <v>2</v>
      </c>
      <c r="AI11" s="7">
        <f>VLOOKUP(AH11,'Место-баллы'!$A$3:$E$52,2,0)</f>
        <v>95</v>
      </c>
      <c r="AJ11" s="10"/>
      <c r="AK11" s="7">
        <v>7</v>
      </c>
      <c r="AL11" s="7">
        <v>25</v>
      </c>
      <c r="AM11" s="14">
        <f>TIME(0,AK11,AL11)</f>
        <v>5.1504629629629635E-3</v>
      </c>
      <c r="AN11" s="7">
        <v>160</v>
      </c>
      <c r="AO11" s="7">
        <f>AN$2-AN11</f>
        <v>0</v>
      </c>
      <c r="AP11" s="14">
        <f>AM11+TIME(0,0,AO11)</f>
        <v>5.1504629629629635E-3</v>
      </c>
      <c r="AQ11" s="7">
        <f>RANK(AP11,AP$8:AP$29,1)</f>
        <v>3</v>
      </c>
      <c r="AR11" s="7">
        <f>VLOOKUP(AQ11,'Место-баллы'!$A$3:$E$52,2,0)</f>
        <v>90</v>
      </c>
    </row>
    <row r="12" spans="2:44" x14ac:dyDescent="0.25">
      <c r="B12" s="7">
        <f>RANK(C12,C$8:C$29,0)</f>
        <v>5</v>
      </c>
      <c r="C12" s="7">
        <f>SUMIF($H$1:$AR$1,1,$H12:$AR12)</f>
        <v>402</v>
      </c>
      <c r="D12" s="10"/>
      <c r="E12" s="13" t="s">
        <v>78</v>
      </c>
      <c r="F12" s="13" t="s">
        <v>99</v>
      </c>
      <c r="G12" s="10"/>
      <c r="H12" s="7">
        <v>65</v>
      </c>
      <c r="I12" s="7">
        <f>RANK(H12,H$8:H$29,0)</f>
        <v>9</v>
      </c>
      <c r="J12" s="7">
        <f>VLOOKUP(I12,'Место-баллы'!$A$3:$E$52,2,0)</f>
        <v>69</v>
      </c>
      <c r="K12" s="10"/>
      <c r="L12" s="7">
        <f>14*65</f>
        <v>910</v>
      </c>
      <c r="M12" s="7">
        <f>RANK(L12,L$8:L$29,0)</f>
        <v>2</v>
      </c>
      <c r="N12" s="7">
        <f>VLOOKUP(M12,'Место-баллы'!$A$3:$E$52,2,0)</f>
        <v>95</v>
      </c>
      <c r="O12" s="10"/>
      <c r="P12" s="7">
        <v>8</v>
      </c>
      <c r="Q12" s="7">
        <v>5</v>
      </c>
      <c r="R12" s="14">
        <f>TIME(0,P12,Q12)</f>
        <v>5.6134259259259271E-3</v>
      </c>
      <c r="S12" s="7">
        <v>110</v>
      </c>
      <c r="T12" s="7">
        <f>S$2-S12</f>
        <v>25</v>
      </c>
      <c r="U12" s="14">
        <f>R12+TIME(0,0,T12)</f>
        <v>5.9027777777777794E-3</v>
      </c>
      <c r="V12" s="7">
        <f>RANK(U12,U$8:U$29,1)</f>
        <v>12</v>
      </c>
      <c r="W12" s="7">
        <f>VLOOKUP(V12,'Место-баллы'!$A$3:$E$52,2,0)</f>
        <v>63</v>
      </c>
      <c r="X12" s="10"/>
      <c r="Y12" s="7">
        <v>6</v>
      </c>
      <c r="Z12" s="7">
        <v>23</v>
      </c>
      <c r="AA12" s="14"/>
      <c r="AB12" s="7">
        <v>7</v>
      </c>
      <c r="AC12" s="7">
        <v>40</v>
      </c>
      <c r="AD12" s="14">
        <f>TIME(0,AB12,AC12)</f>
        <v>5.3240740740740748E-3</v>
      </c>
      <c r="AE12" s="7">
        <v>385</v>
      </c>
      <c r="AF12" s="7">
        <f>AE$2-AE12</f>
        <v>0</v>
      </c>
      <c r="AG12" s="14">
        <f>AD12+TIME(0,0,AF12)</f>
        <v>5.3240740740740748E-3</v>
      </c>
      <c r="AH12" s="7">
        <f>RANK(AG12,AG$8:AG$29,1)</f>
        <v>1</v>
      </c>
      <c r="AI12" s="7">
        <f>VLOOKUP(AH12,'Место-баллы'!$A$3:$E$52,2,0)</f>
        <v>100</v>
      </c>
      <c r="AJ12" s="10"/>
      <c r="AK12" s="7">
        <v>8</v>
      </c>
      <c r="AL12" s="7">
        <v>5</v>
      </c>
      <c r="AM12" s="14">
        <f>TIME(0,AK12,AL12)</f>
        <v>5.6134259259259271E-3</v>
      </c>
      <c r="AN12" s="7">
        <v>158</v>
      </c>
      <c r="AO12" s="7">
        <f>AN$2-AN12</f>
        <v>2</v>
      </c>
      <c r="AP12" s="14">
        <f>AM12+TIME(0,0,AO12)</f>
        <v>5.6365740740740751E-3</v>
      </c>
      <c r="AQ12" s="7">
        <f>RANK(AP12,AP$8:AP$29,1)</f>
        <v>6</v>
      </c>
      <c r="AR12" s="7">
        <f>VLOOKUP(AQ12,'Место-баллы'!$A$3:$E$52,2,0)</f>
        <v>75</v>
      </c>
    </row>
    <row r="13" spans="2:44" x14ac:dyDescent="0.25">
      <c r="B13" s="7">
        <f>RANK(C13,C$8:C$29,0)</f>
        <v>6</v>
      </c>
      <c r="C13" s="7">
        <f>SUMIF($H$1:$AR$1,1,$H13:$AR13)</f>
        <v>391</v>
      </c>
      <c r="D13" s="10"/>
      <c r="E13" s="13" t="s">
        <v>88</v>
      </c>
      <c r="F13" s="13" t="s">
        <v>54</v>
      </c>
      <c r="G13" s="10"/>
      <c r="H13" s="7">
        <v>72</v>
      </c>
      <c r="I13" s="7">
        <f>RANK(H13,H$8:H$29,0)</f>
        <v>3</v>
      </c>
      <c r="J13" s="7">
        <f>VLOOKUP(I13,'Место-баллы'!$A$3:$E$52,2,0)</f>
        <v>90</v>
      </c>
      <c r="K13" s="10"/>
      <c r="L13" s="7">
        <f>11*72</f>
        <v>792</v>
      </c>
      <c r="M13" s="7">
        <f>RANK(L13,L$8:L$29,0)</f>
        <v>8</v>
      </c>
      <c r="N13" s="7">
        <f>VLOOKUP(M13,'Место-баллы'!$A$3:$E$52,2,0)</f>
        <v>71</v>
      </c>
      <c r="O13" s="10"/>
      <c r="P13" s="7">
        <v>7</v>
      </c>
      <c r="Q13" s="7">
        <v>56</v>
      </c>
      <c r="R13" s="14">
        <f>TIME(0,P13,Q13)</f>
        <v>5.5092592592592589E-3</v>
      </c>
      <c r="S13" s="7">
        <v>135</v>
      </c>
      <c r="T13" s="7">
        <f>S$2-S13</f>
        <v>0</v>
      </c>
      <c r="U13" s="14">
        <f>R13+TIME(0,0,T13)</f>
        <v>5.5092592592592589E-3</v>
      </c>
      <c r="V13" s="7">
        <f>RANK(U13,U$8:U$29,1)</f>
        <v>3</v>
      </c>
      <c r="W13" s="7">
        <f>VLOOKUP(V13,'Место-баллы'!$A$3:$E$52,2,0)</f>
        <v>90</v>
      </c>
      <c r="X13" s="10"/>
      <c r="Y13" s="7">
        <v>6</v>
      </c>
      <c r="Z13" s="7">
        <v>51</v>
      </c>
      <c r="AA13" s="14"/>
      <c r="AB13" s="7">
        <v>8</v>
      </c>
      <c r="AC13" s="7">
        <v>13</v>
      </c>
      <c r="AD13" s="14">
        <f>TIME(0,AB13,AC13)</f>
        <v>5.7060185185185191E-3</v>
      </c>
      <c r="AE13" s="7">
        <v>385</v>
      </c>
      <c r="AF13" s="7">
        <f>AE$2-AE13</f>
        <v>0</v>
      </c>
      <c r="AG13" s="14">
        <f>AD13+TIME(0,0,AF13)</f>
        <v>5.7060185185185191E-3</v>
      </c>
      <c r="AH13" s="7">
        <f>RANK(AG13,AG$8:AG$29,1)</f>
        <v>4</v>
      </c>
      <c r="AI13" s="7">
        <f>VLOOKUP(AH13,'Место-баллы'!$A$3:$E$52,2,0)</f>
        <v>85</v>
      </c>
      <c r="AJ13" s="10"/>
      <c r="AK13" s="7">
        <v>8</v>
      </c>
      <c r="AL13" s="7">
        <v>5</v>
      </c>
      <c r="AM13" s="14">
        <f>TIME(0,AK13,AL13)</f>
        <v>5.6134259259259271E-3</v>
      </c>
      <c r="AN13" s="7">
        <v>154</v>
      </c>
      <c r="AO13" s="7">
        <f>AN$2-AN13</f>
        <v>6</v>
      </c>
      <c r="AP13" s="14">
        <f>AM13+TIME(0,0,AO13)</f>
        <v>5.6828703703703711E-3</v>
      </c>
      <c r="AQ13" s="7">
        <f>RANK(AP13,AP$8:AP$29,1)</f>
        <v>16</v>
      </c>
      <c r="AR13" s="7">
        <f>VLOOKUP(AQ13,'Место-баллы'!$A$3:$E$52,2,0)</f>
        <v>55</v>
      </c>
    </row>
    <row r="14" spans="2:44" x14ac:dyDescent="0.25">
      <c r="B14" s="7">
        <f>RANK(C14,C$8:C$29,0)</f>
        <v>7</v>
      </c>
      <c r="C14" s="7">
        <f>SUMIF($H$1:$AR$1,1,$H14:$AR14)</f>
        <v>378</v>
      </c>
      <c r="D14" s="10"/>
      <c r="E14" s="13" t="s">
        <v>90</v>
      </c>
      <c r="F14" s="16" t="s">
        <v>105</v>
      </c>
      <c r="G14" s="10"/>
      <c r="H14" s="7">
        <v>86</v>
      </c>
      <c r="I14" s="7">
        <f>RANK(H14,H$8:H$29,0)</f>
        <v>1</v>
      </c>
      <c r="J14" s="7">
        <f>VLOOKUP(I14,'Место-баллы'!$A$3:$E$52,2,0)</f>
        <v>100</v>
      </c>
      <c r="K14" s="10"/>
      <c r="L14" s="7">
        <f>8*86</f>
        <v>688</v>
      </c>
      <c r="M14" s="7">
        <f>RANK(L14,L$8:L$29,0)</f>
        <v>15</v>
      </c>
      <c r="N14" s="7">
        <f>VLOOKUP(M14,'Место-баллы'!$A$3:$E$52,2,0)</f>
        <v>57</v>
      </c>
      <c r="O14" s="10"/>
      <c r="P14" s="7">
        <v>8</v>
      </c>
      <c r="Q14" s="7">
        <v>5</v>
      </c>
      <c r="R14" s="14">
        <f>TIME(0,P14,Q14)</f>
        <v>5.6134259259259271E-3</v>
      </c>
      <c r="S14" s="7">
        <v>109</v>
      </c>
      <c r="T14" s="7">
        <f>S$2-S14</f>
        <v>26</v>
      </c>
      <c r="U14" s="14">
        <f>R14+TIME(0,0,T14)</f>
        <v>5.9143518518518529E-3</v>
      </c>
      <c r="V14" s="7">
        <f>RANK(U14,U$8:U$29,1)</f>
        <v>13</v>
      </c>
      <c r="W14" s="7">
        <f>VLOOKUP(V14,'Место-баллы'!$A$3:$E$52,2,0)</f>
        <v>61</v>
      </c>
      <c r="X14" s="10"/>
      <c r="Y14" s="7">
        <v>8</v>
      </c>
      <c r="Z14" s="7">
        <v>20</v>
      </c>
      <c r="AA14" s="14"/>
      <c r="AB14" s="7">
        <v>9</v>
      </c>
      <c r="AC14" s="7">
        <v>54</v>
      </c>
      <c r="AD14" s="14">
        <f>TIME(0,AB14,AC14)</f>
        <v>6.875E-3</v>
      </c>
      <c r="AE14" s="7">
        <v>385</v>
      </c>
      <c r="AF14" s="7">
        <f>AE$2-AE14</f>
        <v>0</v>
      </c>
      <c r="AG14" s="14">
        <f>AD14+TIME(0,0,AF14)</f>
        <v>6.875E-3</v>
      </c>
      <c r="AH14" s="7">
        <f>RANK(AG14,AG$8:AG$29,1)</f>
        <v>11</v>
      </c>
      <c r="AI14" s="7">
        <f>VLOOKUP(AH14,'Место-баллы'!$A$3:$E$52,2,0)</f>
        <v>65</v>
      </c>
      <c r="AJ14" s="10"/>
      <c r="AK14" s="7">
        <v>7</v>
      </c>
      <c r="AL14" s="7">
        <v>20</v>
      </c>
      <c r="AM14" s="14">
        <f>TIME(0,AK14,AL14)</f>
        <v>5.0925925925925921E-3</v>
      </c>
      <c r="AN14" s="7">
        <v>160</v>
      </c>
      <c r="AO14" s="7">
        <f>AN$2-AN14</f>
        <v>0</v>
      </c>
      <c r="AP14" s="14">
        <f>AM14+TIME(0,0,AO14)</f>
        <v>5.0925925925925921E-3</v>
      </c>
      <c r="AQ14" s="7">
        <f>RANK(AP14,AP$8:AP$29,1)</f>
        <v>2</v>
      </c>
      <c r="AR14" s="7">
        <f>VLOOKUP(AQ14,'Место-баллы'!$A$3:$E$52,2,0)</f>
        <v>95</v>
      </c>
    </row>
    <row r="15" spans="2:44" x14ac:dyDescent="0.25">
      <c r="B15" s="7">
        <f>RANK(C15,C$8:C$29,0)</f>
        <v>8</v>
      </c>
      <c r="C15" s="7">
        <f>SUMIF($H$1:$AR$1,1,$H15:$AR15)</f>
        <v>357</v>
      </c>
      <c r="D15" s="10"/>
      <c r="E15" s="13" t="s">
        <v>80</v>
      </c>
      <c r="F15" s="13" t="s">
        <v>101</v>
      </c>
      <c r="G15" s="10"/>
      <c r="H15" s="7">
        <v>65</v>
      </c>
      <c r="I15" s="7">
        <f>RANK(H15,H$8:H$29,0)</f>
        <v>9</v>
      </c>
      <c r="J15" s="7">
        <f>VLOOKUP(I15,'Место-баллы'!$A$3:$E$52,2,0)</f>
        <v>69</v>
      </c>
      <c r="K15" s="10"/>
      <c r="L15" s="7">
        <f>14*65</f>
        <v>910</v>
      </c>
      <c r="M15" s="7">
        <f>RANK(L15,L$8:L$29,0)</f>
        <v>2</v>
      </c>
      <c r="N15" s="7">
        <f>VLOOKUP(M15,'Место-баллы'!$A$3:$E$52,2,0)</f>
        <v>95</v>
      </c>
      <c r="O15" s="10"/>
      <c r="P15" s="7">
        <v>8</v>
      </c>
      <c r="Q15" s="7">
        <v>5</v>
      </c>
      <c r="R15" s="14">
        <f>TIME(0,P15,Q15)</f>
        <v>5.6134259259259271E-3</v>
      </c>
      <c r="S15" s="7">
        <v>116</v>
      </c>
      <c r="T15" s="7">
        <f>S$2-S15</f>
        <v>19</v>
      </c>
      <c r="U15" s="14">
        <f>R15+TIME(0,0,T15)</f>
        <v>5.8333333333333345E-3</v>
      </c>
      <c r="V15" s="7">
        <f>RANK(U15,U$8:U$29,1)</f>
        <v>9</v>
      </c>
      <c r="W15" s="7">
        <f>VLOOKUP(V15,'Место-баллы'!$A$3:$E$52,2,0)</f>
        <v>69</v>
      </c>
      <c r="X15" s="10"/>
      <c r="Y15" s="7">
        <v>8</v>
      </c>
      <c r="Z15" s="7">
        <v>3</v>
      </c>
      <c r="AA15" s="14"/>
      <c r="AB15" s="7">
        <v>9</v>
      </c>
      <c r="AC15" s="7">
        <v>18</v>
      </c>
      <c r="AD15" s="14">
        <f>TIME(0,AB15,AC15)</f>
        <v>6.4583333333333333E-3</v>
      </c>
      <c r="AE15" s="7">
        <v>385</v>
      </c>
      <c r="AF15" s="7">
        <f>AE$2-AE15</f>
        <v>0</v>
      </c>
      <c r="AG15" s="14">
        <f>AD15+TIME(0,0,AF15)</f>
        <v>6.4583333333333333E-3</v>
      </c>
      <c r="AH15" s="7">
        <f>RANK(AG15,AG$8:AG$29,1)</f>
        <v>9</v>
      </c>
      <c r="AI15" s="7">
        <f>VLOOKUP(AH15,'Место-баллы'!$A$3:$E$52,2,0)</f>
        <v>69</v>
      </c>
      <c r="AJ15" s="10"/>
      <c r="AK15" s="7">
        <v>8</v>
      </c>
      <c r="AL15" s="7">
        <v>5</v>
      </c>
      <c r="AM15" s="14">
        <f>TIME(0,AK15,AL15)</f>
        <v>5.6134259259259271E-3</v>
      </c>
      <c r="AN15" s="7">
        <v>154</v>
      </c>
      <c r="AO15" s="7">
        <f>AN$2-AN15</f>
        <v>6</v>
      </c>
      <c r="AP15" s="14">
        <f>AM15+TIME(0,0,AO15)</f>
        <v>5.6828703703703711E-3</v>
      </c>
      <c r="AQ15" s="7">
        <f>RANK(AP15,AP$8:AP$29,1)</f>
        <v>16</v>
      </c>
      <c r="AR15" s="7">
        <f>VLOOKUP(AQ15,'Место-баллы'!$A$3:$E$52,2,0)</f>
        <v>55</v>
      </c>
    </row>
    <row r="16" spans="2:44" x14ac:dyDescent="0.25">
      <c r="B16" s="7">
        <f>RANK(C16,C$8:C$29,0)</f>
        <v>9</v>
      </c>
      <c r="C16" s="7">
        <f>SUMIF($H$1:$AR$1,1,$H16:$AR16)</f>
        <v>343</v>
      </c>
      <c r="D16" s="10"/>
      <c r="E16" s="13" t="s">
        <v>81</v>
      </c>
      <c r="F16" s="13" t="s">
        <v>98</v>
      </c>
      <c r="G16" s="10"/>
      <c r="H16" s="7">
        <v>68</v>
      </c>
      <c r="I16" s="7">
        <f>RANK(H16,H$8:H$29,0)</f>
        <v>8</v>
      </c>
      <c r="J16" s="7">
        <f>VLOOKUP(I16,'Место-баллы'!$A$3:$E$52,2,0)</f>
        <v>71</v>
      </c>
      <c r="K16" s="10"/>
      <c r="L16" s="7">
        <f>11*68</f>
        <v>748</v>
      </c>
      <c r="M16" s="7">
        <f>RANK(L16,L$8:L$29,0)</f>
        <v>11</v>
      </c>
      <c r="N16" s="7">
        <f>VLOOKUP(M16,'Место-баллы'!$A$3:$E$52,2,0)</f>
        <v>65</v>
      </c>
      <c r="O16" s="10"/>
      <c r="P16" s="7">
        <v>8</v>
      </c>
      <c r="Q16" s="7">
        <v>5</v>
      </c>
      <c r="R16" s="14">
        <f>TIME(0,P16,Q16)</f>
        <v>5.6134259259259271E-3</v>
      </c>
      <c r="S16" s="7">
        <v>109</v>
      </c>
      <c r="T16" s="7">
        <f>S$2-S16</f>
        <v>26</v>
      </c>
      <c r="U16" s="14">
        <f>R16+TIME(0,0,T16)</f>
        <v>5.9143518518518529E-3</v>
      </c>
      <c r="V16" s="7">
        <f>RANK(U16,U$8:U$29,1)</f>
        <v>13</v>
      </c>
      <c r="W16" s="7">
        <f>VLOOKUP(V16,'Место-баллы'!$A$3:$E$52,2,0)</f>
        <v>61</v>
      </c>
      <c r="X16" s="10"/>
      <c r="Y16" s="7">
        <v>7</v>
      </c>
      <c r="Z16" s="7">
        <v>43</v>
      </c>
      <c r="AA16" s="14"/>
      <c r="AB16" s="7">
        <v>9</v>
      </c>
      <c r="AC16" s="7">
        <v>2</v>
      </c>
      <c r="AD16" s="14">
        <f>TIME(0,AB16,AC16)</f>
        <v>6.2731481481481484E-3</v>
      </c>
      <c r="AE16" s="7">
        <v>385</v>
      </c>
      <c r="AF16" s="7">
        <f>AE$2-AE16</f>
        <v>0</v>
      </c>
      <c r="AG16" s="14">
        <f>AD16+TIME(0,0,AF16)</f>
        <v>6.2731481481481484E-3</v>
      </c>
      <c r="AH16" s="7">
        <f>RANK(AG16,AG$8:AG$29,1)</f>
        <v>8</v>
      </c>
      <c r="AI16" s="7">
        <f>VLOOKUP(AH16,'Место-баллы'!$A$3:$E$52,2,0)</f>
        <v>71</v>
      </c>
      <c r="AJ16" s="10"/>
      <c r="AK16" s="7">
        <v>8</v>
      </c>
      <c r="AL16" s="7">
        <v>5</v>
      </c>
      <c r="AM16" s="14">
        <f>TIME(0,AK16,AL16)</f>
        <v>5.6134259259259271E-3</v>
      </c>
      <c r="AN16" s="7">
        <v>158</v>
      </c>
      <c r="AO16" s="7">
        <f>AN$2-AN16</f>
        <v>2</v>
      </c>
      <c r="AP16" s="14">
        <f>AM16+TIME(0,0,AO16)</f>
        <v>5.6365740740740751E-3</v>
      </c>
      <c r="AQ16" s="7">
        <f>RANK(AP16,AP$8:AP$29,1)</f>
        <v>6</v>
      </c>
      <c r="AR16" s="7">
        <f>VLOOKUP(AQ16,'Место-баллы'!$A$3:$E$52,2,0)</f>
        <v>75</v>
      </c>
    </row>
    <row r="17" spans="2:44" x14ac:dyDescent="0.25">
      <c r="B17" s="7">
        <f>RANK(C17,C$8:C$29,0)</f>
        <v>10</v>
      </c>
      <c r="C17" s="7">
        <f>SUMIF($H$1:$AR$1,1,$H17:$AR17)</f>
        <v>341</v>
      </c>
      <c r="D17" s="10"/>
      <c r="E17" s="13" t="s">
        <v>94</v>
      </c>
      <c r="F17" s="13" t="s">
        <v>98</v>
      </c>
      <c r="G17" s="10"/>
      <c r="H17" s="7">
        <v>65</v>
      </c>
      <c r="I17" s="7">
        <f>RANK(H17,H$8:H$29,0)</f>
        <v>9</v>
      </c>
      <c r="J17" s="7">
        <f>VLOOKUP(I17,'Место-баллы'!$A$3:$E$52,2,0)</f>
        <v>69</v>
      </c>
      <c r="K17" s="10"/>
      <c r="L17" s="7">
        <f>13*65</f>
        <v>845</v>
      </c>
      <c r="M17" s="7">
        <f>RANK(L17,L$8:L$29,0)</f>
        <v>6</v>
      </c>
      <c r="N17" s="7">
        <f>VLOOKUP(M17,'Место-баллы'!$A$3:$E$52,2,0)</f>
        <v>75</v>
      </c>
      <c r="O17" s="10"/>
      <c r="P17" s="7">
        <v>8</v>
      </c>
      <c r="Q17" s="7">
        <v>5</v>
      </c>
      <c r="R17" s="14">
        <f>TIME(0,P17,Q17)</f>
        <v>5.6134259259259271E-3</v>
      </c>
      <c r="S17" s="7">
        <v>115</v>
      </c>
      <c r="T17" s="7">
        <f>S$2-S17</f>
        <v>20</v>
      </c>
      <c r="U17" s="14">
        <f>R17+TIME(0,0,T17)</f>
        <v>5.8449074074074089E-3</v>
      </c>
      <c r="V17" s="7">
        <f>RANK(U17,U$8:U$29,1)</f>
        <v>10</v>
      </c>
      <c r="W17" s="7">
        <f>VLOOKUP(V17,'Место-баллы'!$A$3:$E$52,2,0)</f>
        <v>67</v>
      </c>
      <c r="X17" s="10"/>
      <c r="Y17" s="7">
        <v>8</v>
      </c>
      <c r="Z17" s="7">
        <v>55</v>
      </c>
      <c r="AA17" s="14"/>
      <c r="AB17" s="7">
        <v>10</v>
      </c>
      <c r="AC17" s="7">
        <v>21</v>
      </c>
      <c r="AD17" s="14">
        <f>TIME(0,AB17,AC17)</f>
        <v>7.1874999999999994E-3</v>
      </c>
      <c r="AE17" s="7">
        <v>385</v>
      </c>
      <c r="AF17" s="7">
        <f>AE$2-AE17</f>
        <v>0</v>
      </c>
      <c r="AG17" s="14">
        <f>AD17+TIME(0,0,AF17)</f>
        <v>7.1874999999999994E-3</v>
      </c>
      <c r="AH17" s="7">
        <f>RANK(AG17,AG$8:AG$29,1)</f>
        <v>13</v>
      </c>
      <c r="AI17" s="7">
        <f>VLOOKUP(AH17,'Место-баллы'!$A$3:$E$52,2,0)</f>
        <v>61</v>
      </c>
      <c r="AJ17" s="10"/>
      <c r="AK17" s="7">
        <v>8</v>
      </c>
      <c r="AL17" s="7">
        <v>5</v>
      </c>
      <c r="AM17" s="14">
        <f>TIME(0,AK17,AL17)</f>
        <v>5.6134259259259271E-3</v>
      </c>
      <c r="AN17" s="7">
        <v>156</v>
      </c>
      <c r="AO17" s="7">
        <f>AN$2-AN17</f>
        <v>4</v>
      </c>
      <c r="AP17" s="14">
        <f>AM17+TIME(0,0,AO17)</f>
        <v>5.6597222222222231E-3</v>
      </c>
      <c r="AQ17" s="7">
        <f>RANK(AP17,AP$8:AP$29,1)</f>
        <v>9</v>
      </c>
      <c r="AR17" s="7">
        <f>VLOOKUP(AQ17,'Место-баллы'!$A$3:$E$52,2,0)</f>
        <v>69</v>
      </c>
    </row>
    <row r="18" spans="2:44" x14ac:dyDescent="0.25">
      <c r="B18" s="7">
        <f>RANK(C18,C$8:C$29,0)</f>
        <v>11</v>
      </c>
      <c r="C18" s="7">
        <f>SUMIF($H$1:$AR$1,1,$H18:$AR18)</f>
        <v>338</v>
      </c>
      <c r="D18" s="10"/>
      <c r="E18" s="13" t="s">
        <v>91</v>
      </c>
      <c r="F18" s="13" t="s">
        <v>103</v>
      </c>
      <c r="G18" s="10"/>
      <c r="H18" s="7">
        <v>65</v>
      </c>
      <c r="I18" s="7">
        <f>RANK(H18,H$8:H$29,0)</f>
        <v>9</v>
      </c>
      <c r="J18" s="7">
        <f>VLOOKUP(I18,'Место-баллы'!$A$3:$E$52,2,0)</f>
        <v>69</v>
      </c>
      <c r="K18" s="10"/>
      <c r="L18" s="7">
        <f>11*65</f>
        <v>715</v>
      </c>
      <c r="M18" s="7">
        <f>RANK(L18,L$8:L$29,0)</f>
        <v>12</v>
      </c>
      <c r="N18" s="7">
        <f>VLOOKUP(M18,'Место-баллы'!$A$3:$E$52,2,0)</f>
        <v>63</v>
      </c>
      <c r="O18" s="10"/>
      <c r="P18" s="7">
        <v>8</v>
      </c>
      <c r="Q18" s="7">
        <v>5</v>
      </c>
      <c r="R18" s="14">
        <f>TIME(0,P18,Q18)</f>
        <v>5.6134259259259271E-3</v>
      </c>
      <c r="S18" s="7">
        <v>107</v>
      </c>
      <c r="T18" s="7">
        <f>S$2-S18</f>
        <v>28</v>
      </c>
      <c r="U18" s="14">
        <f>R18+TIME(0,0,T18)</f>
        <v>5.9375000000000009E-3</v>
      </c>
      <c r="V18" s="7">
        <f>RANK(U18,U$8:U$29,1)</f>
        <v>15</v>
      </c>
      <c r="W18" s="7">
        <f>VLOOKUP(V18,'Место-баллы'!$A$3:$E$52,2,0)</f>
        <v>57</v>
      </c>
      <c r="X18" s="10"/>
      <c r="Y18" s="7">
        <v>7</v>
      </c>
      <c r="Z18" s="7">
        <v>17</v>
      </c>
      <c r="AA18" s="14"/>
      <c r="AB18" s="7">
        <v>8</v>
      </c>
      <c r="AC18" s="7">
        <v>31</v>
      </c>
      <c r="AD18" s="14">
        <f>TIME(0,AB18,AC18)</f>
        <v>5.9143518518518521E-3</v>
      </c>
      <c r="AE18" s="7">
        <v>385</v>
      </c>
      <c r="AF18" s="7">
        <f>AE$2-AE18</f>
        <v>0</v>
      </c>
      <c r="AG18" s="14">
        <f>AD18+TIME(0,0,AF18)</f>
        <v>5.9143518518518521E-3</v>
      </c>
      <c r="AH18" s="7">
        <f>RANK(AG18,AG$8:AG$29,1)</f>
        <v>5</v>
      </c>
      <c r="AI18" s="7">
        <f>VLOOKUP(AH18,'Место-баллы'!$A$3:$E$52,2,0)</f>
        <v>80</v>
      </c>
      <c r="AJ18" s="10"/>
      <c r="AK18" s="7">
        <v>8</v>
      </c>
      <c r="AL18" s="7">
        <v>5</v>
      </c>
      <c r="AM18" s="14">
        <f>TIME(0,AK18,AL18)</f>
        <v>5.6134259259259271E-3</v>
      </c>
      <c r="AN18" s="7">
        <v>156</v>
      </c>
      <c r="AO18" s="7">
        <f>AN$2-AN18</f>
        <v>4</v>
      </c>
      <c r="AP18" s="14">
        <f>AM18+TIME(0,0,AO18)</f>
        <v>5.6597222222222231E-3</v>
      </c>
      <c r="AQ18" s="7">
        <f>RANK(AP18,AP$8:AP$29,1)</f>
        <v>9</v>
      </c>
      <c r="AR18" s="7">
        <f>VLOOKUP(AQ18,'Место-баллы'!$A$3:$E$52,2,0)</f>
        <v>69</v>
      </c>
    </row>
    <row r="19" spans="2:44" x14ac:dyDescent="0.25">
      <c r="B19" s="7">
        <f>RANK(C19,C$8:C$29,0)</f>
        <v>12</v>
      </c>
      <c r="C19" s="7">
        <f>SUMIF($H$1:$AR$1,1,$H19:$AR19)</f>
        <v>335</v>
      </c>
      <c r="D19" s="10"/>
      <c r="E19" s="13" t="s">
        <v>84</v>
      </c>
      <c r="F19" s="13" t="s">
        <v>98</v>
      </c>
      <c r="G19" s="10"/>
      <c r="H19" s="7">
        <v>65</v>
      </c>
      <c r="I19" s="7">
        <f>RANK(H19,H$8:H$29,0)</f>
        <v>9</v>
      </c>
      <c r="J19" s="7">
        <f>VLOOKUP(I19,'Место-баллы'!$A$3:$E$52,2,0)</f>
        <v>69</v>
      </c>
      <c r="K19" s="10"/>
      <c r="L19" s="7">
        <f>12*65</f>
        <v>780</v>
      </c>
      <c r="M19" s="7">
        <f>RANK(L19,L$8:L$29,0)</f>
        <v>9</v>
      </c>
      <c r="N19" s="7">
        <f>VLOOKUP(M19,'Место-баллы'!$A$3:$E$52,2,0)</f>
        <v>69</v>
      </c>
      <c r="O19" s="10"/>
      <c r="P19" s="7">
        <v>8</v>
      </c>
      <c r="Q19" s="7">
        <v>5</v>
      </c>
      <c r="R19" s="14">
        <f>TIME(0,P19,Q19)</f>
        <v>5.6134259259259271E-3</v>
      </c>
      <c r="S19" s="7">
        <v>127</v>
      </c>
      <c r="T19" s="7">
        <f>S$2-S19</f>
        <v>8</v>
      </c>
      <c r="U19" s="14">
        <f>R19+TIME(0,0,T19)</f>
        <v>5.70601851851852E-3</v>
      </c>
      <c r="V19" s="7">
        <f>RANK(U19,U$8:U$29,1)</f>
        <v>6</v>
      </c>
      <c r="W19" s="7">
        <f>VLOOKUP(V19,'Место-баллы'!$A$3:$E$52,2,0)</f>
        <v>75</v>
      </c>
      <c r="X19" s="10"/>
      <c r="Y19" s="7">
        <v>8</v>
      </c>
      <c r="Z19" s="7">
        <v>12</v>
      </c>
      <c r="AA19" s="14">
        <f>TIME(0,Y19,Z19)</f>
        <v>5.6944444444444438E-3</v>
      </c>
      <c r="AB19" s="7">
        <v>12</v>
      </c>
      <c r="AC19" s="7">
        <v>5</v>
      </c>
      <c r="AD19" s="14">
        <f>TIME(0,AB19,AC19)</f>
        <v>8.3912037037037045E-3</v>
      </c>
      <c r="AE19" s="7">
        <v>335</v>
      </c>
      <c r="AF19" s="7">
        <f>AE$2-AE19</f>
        <v>50</v>
      </c>
      <c r="AG19" s="14">
        <f>AD19+TIME(0,0,AF19)</f>
        <v>8.9699074074074091E-3</v>
      </c>
      <c r="AH19" s="7">
        <v>18</v>
      </c>
      <c r="AI19" s="7">
        <f>VLOOKUP(AH19,'Место-баллы'!$A$3:$E$52,2,0)</f>
        <v>51</v>
      </c>
      <c r="AJ19" s="10"/>
      <c r="AK19" s="7">
        <v>8</v>
      </c>
      <c r="AL19" s="7">
        <v>5</v>
      </c>
      <c r="AM19" s="14">
        <f>TIME(0,AK19,AL19)</f>
        <v>5.6134259259259271E-3</v>
      </c>
      <c r="AN19" s="7">
        <v>157</v>
      </c>
      <c r="AO19" s="7">
        <f>AN$2-AN19</f>
        <v>3</v>
      </c>
      <c r="AP19" s="14">
        <f>AM19+TIME(0,0,AO19)</f>
        <v>5.6481481481481495E-3</v>
      </c>
      <c r="AQ19" s="7">
        <f>RANK(AP19,AP$8:AP$29,1)</f>
        <v>8</v>
      </c>
      <c r="AR19" s="7">
        <f>VLOOKUP(AQ19,'Место-баллы'!$A$3:$E$52,2,0)</f>
        <v>71</v>
      </c>
    </row>
    <row r="20" spans="2:44" x14ac:dyDescent="0.25">
      <c r="B20" s="7">
        <f>RANK(C20,C$8:C$29,0)</f>
        <v>13</v>
      </c>
      <c r="C20" s="7">
        <f>SUMIF($H$1:$AR$1,1,$H20:$AR20)</f>
        <v>331</v>
      </c>
      <c r="D20" s="10"/>
      <c r="E20" s="13" t="s">
        <v>109</v>
      </c>
      <c r="F20" s="13"/>
      <c r="G20" s="10"/>
      <c r="H20" s="7">
        <v>71</v>
      </c>
      <c r="I20" s="7">
        <f>RANK(H20,H$8:H$29,0)</f>
        <v>4</v>
      </c>
      <c r="J20" s="7">
        <f>VLOOKUP(I20,'Место-баллы'!$A$3:$E$52,2,0)</f>
        <v>85</v>
      </c>
      <c r="K20" s="10"/>
      <c r="L20" s="7">
        <f>10*71</f>
        <v>710</v>
      </c>
      <c r="M20" s="7">
        <f>RANK(L20,L$8:L$29,0)</f>
        <v>14</v>
      </c>
      <c r="N20" s="7">
        <f>VLOOKUP(M20,'Место-баллы'!$A$3:$E$52,2,0)</f>
        <v>59</v>
      </c>
      <c r="O20" s="10"/>
      <c r="P20" s="7">
        <v>8</v>
      </c>
      <c r="Q20" s="7">
        <v>5</v>
      </c>
      <c r="R20" s="14">
        <f>TIME(0,P20,Q20)</f>
        <v>5.6134259259259271E-3</v>
      </c>
      <c r="S20" s="7">
        <v>114</v>
      </c>
      <c r="T20" s="7">
        <f>S$2-S20</f>
        <v>21</v>
      </c>
      <c r="U20" s="14">
        <f>R20+TIME(0,0,T20)</f>
        <v>5.8564814814814825E-3</v>
      </c>
      <c r="V20" s="7">
        <f>RANK(U20,U$8:U$29,1)</f>
        <v>11</v>
      </c>
      <c r="W20" s="7">
        <f>VLOOKUP(V20,'Место-баллы'!$A$3:$E$52,2,0)</f>
        <v>65</v>
      </c>
      <c r="X20" s="10"/>
      <c r="Y20" s="7">
        <v>7</v>
      </c>
      <c r="Z20" s="7">
        <v>29</v>
      </c>
      <c r="AA20" s="14">
        <f>TIME(0,Y20,Z20)</f>
        <v>5.1967592592592595E-3</v>
      </c>
      <c r="AB20" s="7">
        <v>12</v>
      </c>
      <c r="AC20" s="7">
        <v>5</v>
      </c>
      <c r="AD20" s="14">
        <f>TIME(0,AB20,AC20)</f>
        <v>8.3912037037037045E-3</v>
      </c>
      <c r="AE20" s="7">
        <v>335</v>
      </c>
      <c r="AF20" s="7">
        <f>AE$2-AE20</f>
        <v>50</v>
      </c>
      <c r="AG20" s="14">
        <f>AD20+TIME(0,0,AF20)</f>
        <v>8.9699074074074091E-3</v>
      </c>
      <c r="AH20" s="7">
        <f>RANK(AG20,AG$8:AG$29,1)</f>
        <v>17</v>
      </c>
      <c r="AI20" s="7">
        <f>VLOOKUP(AH20,'Место-баллы'!$A$3:$E$52,2,0)</f>
        <v>53</v>
      </c>
      <c r="AJ20" s="10"/>
      <c r="AK20" s="7">
        <v>8</v>
      </c>
      <c r="AL20" s="7">
        <v>5</v>
      </c>
      <c r="AM20" s="14">
        <f>TIME(0,AK20,AL20)</f>
        <v>5.6134259259259271E-3</v>
      </c>
      <c r="AN20" s="7">
        <v>156</v>
      </c>
      <c r="AO20" s="7">
        <f>AN$2-AN20</f>
        <v>4</v>
      </c>
      <c r="AP20" s="14">
        <f>AM20+TIME(0,0,AO20)</f>
        <v>5.6597222222222231E-3</v>
      </c>
      <c r="AQ20" s="7">
        <f>RANK(AP20,AP$8:AP$29,1)</f>
        <v>9</v>
      </c>
      <c r="AR20" s="7">
        <f>VLOOKUP(AQ20,'Место-баллы'!$A$3:$E$52,2,0)</f>
        <v>69</v>
      </c>
    </row>
    <row r="21" spans="2:44" x14ac:dyDescent="0.25">
      <c r="B21" s="7">
        <f>RANK(C21,C$8:C$29,0)</f>
        <v>14</v>
      </c>
      <c r="C21" s="7">
        <f>SUMIF($H$1:$AR$1,1,$H21:$AR21)</f>
        <v>314</v>
      </c>
      <c r="D21" s="10"/>
      <c r="E21" s="13" t="s">
        <v>95</v>
      </c>
      <c r="F21" s="13" t="s">
        <v>98</v>
      </c>
      <c r="G21" s="10"/>
      <c r="H21" s="7">
        <v>61</v>
      </c>
      <c r="I21" s="7">
        <f>RANK(H21,H$8:H$29,0)</f>
        <v>15</v>
      </c>
      <c r="J21" s="7">
        <f>VLOOKUP(I21,'Место-баллы'!$A$3:$E$52,2,0)</f>
        <v>57</v>
      </c>
      <c r="K21" s="10"/>
      <c r="L21" s="7">
        <f>14*61</f>
        <v>854</v>
      </c>
      <c r="M21" s="7">
        <f>RANK(L21,L$8:L$29,0)</f>
        <v>5</v>
      </c>
      <c r="N21" s="7">
        <f>VLOOKUP(M21,'Место-баллы'!$A$3:$E$52,2,0)</f>
        <v>80</v>
      </c>
      <c r="O21" s="10"/>
      <c r="P21" s="7">
        <v>8</v>
      </c>
      <c r="Q21" s="7">
        <v>5</v>
      </c>
      <c r="R21" s="14">
        <f>TIME(0,P21,Q21)</f>
        <v>5.6134259259259271E-3</v>
      </c>
      <c r="S21" s="7">
        <v>93</v>
      </c>
      <c r="T21" s="7">
        <f>S$2-S21</f>
        <v>42</v>
      </c>
      <c r="U21" s="14">
        <f>R21+TIME(0,0,T21)</f>
        <v>6.0995370370370379E-3</v>
      </c>
      <c r="V21" s="7">
        <f>RANK(U21,U$8:U$29,1)</f>
        <v>17</v>
      </c>
      <c r="W21" s="7">
        <f>VLOOKUP(V21,'Место-баллы'!$A$3:$E$52,2,0)</f>
        <v>53</v>
      </c>
      <c r="X21" s="10"/>
      <c r="Y21" s="7">
        <v>8</v>
      </c>
      <c r="Z21" s="7">
        <v>38</v>
      </c>
      <c r="AA21" s="14"/>
      <c r="AB21" s="7">
        <v>9</v>
      </c>
      <c r="AC21" s="7">
        <v>57</v>
      </c>
      <c r="AD21" s="14">
        <f>TIME(0,AB21,AC21)</f>
        <v>6.9097222222222225E-3</v>
      </c>
      <c r="AE21" s="7">
        <v>385</v>
      </c>
      <c r="AF21" s="7">
        <f>AE$2-AE21</f>
        <v>0</v>
      </c>
      <c r="AG21" s="14">
        <f>AD21+TIME(0,0,AF21)</f>
        <v>6.9097222222222225E-3</v>
      </c>
      <c r="AH21" s="7">
        <f>RANK(AG21,AG$8:AG$29,1)</f>
        <v>12</v>
      </c>
      <c r="AI21" s="7">
        <f>VLOOKUP(AH21,'Место-баллы'!$A$3:$E$52,2,0)</f>
        <v>63</v>
      </c>
      <c r="AJ21" s="10"/>
      <c r="AK21" s="7">
        <v>8</v>
      </c>
      <c r="AL21" s="7">
        <v>5</v>
      </c>
      <c r="AM21" s="14">
        <f>TIME(0,AK21,AL21)</f>
        <v>5.6134259259259271E-3</v>
      </c>
      <c r="AN21" s="7">
        <v>155</v>
      </c>
      <c r="AO21" s="7">
        <f>AN$2-AN21</f>
        <v>5</v>
      </c>
      <c r="AP21" s="14">
        <f>AM21+TIME(0,0,AO21)</f>
        <v>5.6712962962962975E-3</v>
      </c>
      <c r="AQ21" s="7">
        <f>RANK(AP21,AP$8:AP$29,1)</f>
        <v>13</v>
      </c>
      <c r="AR21" s="7">
        <f>VLOOKUP(AQ21,'Место-баллы'!$A$3:$E$52,2,0)</f>
        <v>61</v>
      </c>
    </row>
    <row r="22" spans="2:44" x14ac:dyDescent="0.25">
      <c r="B22" s="7">
        <f>RANK(C22,C$8:C$29,0)</f>
        <v>15</v>
      </c>
      <c r="C22" s="7">
        <f>SUMIF($H$1:$AR$1,1,$H22:$AR22)</f>
        <v>293</v>
      </c>
      <c r="D22" s="10"/>
      <c r="E22" s="13" t="s">
        <v>89</v>
      </c>
      <c r="F22" s="13" t="s">
        <v>98</v>
      </c>
      <c r="G22" s="10"/>
      <c r="H22" s="7">
        <v>63</v>
      </c>
      <c r="I22" s="7">
        <f>RANK(H22,H$8:H$29,0)</f>
        <v>14</v>
      </c>
      <c r="J22" s="7">
        <f>VLOOKUP(I22,'Место-баллы'!$A$3:$E$52,2,0)</f>
        <v>59</v>
      </c>
      <c r="K22" s="10"/>
      <c r="L22" s="7">
        <f>8*63</f>
        <v>504</v>
      </c>
      <c r="M22" s="7">
        <f>RANK(L22,L$8:L$29,0)</f>
        <v>21</v>
      </c>
      <c r="N22" s="7">
        <f>VLOOKUP(M22,'Место-баллы'!$A$3:$E$52,2,0)</f>
        <v>45</v>
      </c>
      <c r="O22" s="10"/>
      <c r="P22" s="7">
        <v>8</v>
      </c>
      <c r="Q22" s="7">
        <v>5</v>
      </c>
      <c r="R22" s="14">
        <f>TIME(0,P22,Q22)</f>
        <v>5.6134259259259271E-3</v>
      </c>
      <c r="S22" s="7">
        <f>115+8</f>
        <v>123</v>
      </c>
      <c r="T22" s="7">
        <f>S$2-S22</f>
        <v>12</v>
      </c>
      <c r="U22" s="14">
        <f>R22+TIME(0,0,T22)</f>
        <v>5.752314814814816E-3</v>
      </c>
      <c r="V22" s="7">
        <f>RANK(U22,U$8:U$29,1)</f>
        <v>7</v>
      </c>
      <c r="W22" s="7">
        <f>VLOOKUP(V22,'Место-баллы'!$A$3:$E$52,2,0)</f>
        <v>73</v>
      </c>
      <c r="X22" s="10"/>
      <c r="Y22" s="7">
        <v>9</v>
      </c>
      <c r="Z22" s="7">
        <v>42</v>
      </c>
      <c r="AA22" s="14">
        <f>TIME(0,Y22,Z22)</f>
        <v>6.7361111111111103E-3</v>
      </c>
      <c r="AB22" s="7">
        <v>12</v>
      </c>
      <c r="AC22" s="7">
        <v>5</v>
      </c>
      <c r="AD22" s="14">
        <f>TIME(0,AB22,AC22)</f>
        <v>8.3912037037037045E-3</v>
      </c>
      <c r="AE22" s="7">
        <v>335</v>
      </c>
      <c r="AF22" s="7">
        <f>AE$2-AE22</f>
        <v>50</v>
      </c>
      <c r="AG22" s="14">
        <f>AD22+TIME(0,0,AF22)</f>
        <v>8.9699074074074091E-3</v>
      </c>
      <c r="AH22" s="7">
        <v>20</v>
      </c>
      <c r="AI22" s="7">
        <f>VLOOKUP(AH22,'Место-баллы'!$A$3:$E$52,2,0)</f>
        <v>47</v>
      </c>
      <c r="AJ22" s="10"/>
      <c r="AK22" s="7">
        <v>8</v>
      </c>
      <c r="AL22" s="7">
        <v>5</v>
      </c>
      <c r="AM22" s="14">
        <f>TIME(0,AK22,AL22)</f>
        <v>5.6134259259259271E-3</v>
      </c>
      <c r="AN22" s="7">
        <v>156</v>
      </c>
      <c r="AO22" s="7">
        <f>AN$2-AN22</f>
        <v>4</v>
      </c>
      <c r="AP22" s="14">
        <f>AM22+TIME(0,0,AO22)</f>
        <v>5.6597222222222231E-3</v>
      </c>
      <c r="AQ22" s="7">
        <f>RANK(AP22,AP$8:AP$29,1)</f>
        <v>9</v>
      </c>
      <c r="AR22" s="7">
        <f>VLOOKUP(AQ22,'Место-баллы'!$A$3:$E$52,2,0)</f>
        <v>69</v>
      </c>
    </row>
    <row r="23" spans="2:44" x14ac:dyDescent="0.25">
      <c r="B23" s="7">
        <f>RANK(C23,C$8:C$29,0)</f>
        <v>16</v>
      </c>
      <c r="C23" s="7">
        <f>SUMIF($H$1:$AR$1,1,$H23:$AR23)</f>
        <v>291</v>
      </c>
      <c r="D23" s="10"/>
      <c r="E23" s="13" t="s">
        <v>93</v>
      </c>
      <c r="F23" s="13" t="s">
        <v>98</v>
      </c>
      <c r="G23" s="10"/>
      <c r="H23" s="7">
        <v>55</v>
      </c>
      <c r="I23" s="7">
        <f>RANK(H23,H$8:H$29,0)</f>
        <v>20</v>
      </c>
      <c r="J23" s="7">
        <f>VLOOKUP(I23,'Место-баллы'!$A$3:$E$52,2,0)</f>
        <v>47</v>
      </c>
      <c r="K23" s="10"/>
      <c r="L23" s="7">
        <f>12*55</f>
        <v>660</v>
      </c>
      <c r="M23" s="7">
        <f>RANK(L23,L$8:L$29,0)</f>
        <v>16</v>
      </c>
      <c r="N23" s="7">
        <f>VLOOKUP(M23,'Место-баллы'!$A$3:$E$52,2,0)</f>
        <v>55</v>
      </c>
      <c r="O23" s="10"/>
      <c r="P23" s="7">
        <v>8</v>
      </c>
      <c r="Q23" s="7">
        <v>5</v>
      </c>
      <c r="R23" s="14">
        <f>TIME(0,P23,Q23)</f>
        <v>5.6134259259259271E-3</v>
      </c>
      <c r="S23" s="7">
        <v>117</v>
      </c>
      <c r="T23" s="7">
        <f>S$2-S23</f>
        <v>18</v>
      </c>
      <c r="U23" s="14">
        <f>R23+TIME(0,0,T23)</f>
        <v>5.82175925925926E-3</v>
      </c>
      <c r="V23" s="7">
        <f>RANK(U23,U$8:U$29,1)</f>
        <v>8</v>
      </c>
      <c r="W23" s="7">
        <f>VLOOKUP(V23,'Место-баллы'!$A$3:$E$52,2,0)</f>
        <v>71</v>
      </c>
      <c r="X23" s="10"/>
      <c r="Y23" s="7">
        <v>8</v>
      </c>
      <c r="Z23" s="7">
        <v>23</v>
      </c>
      <c r="AA23" s="14"/>
      <c r="AB23" s="7">
        <v>9</v>
      </c>
      <c r="AC23" s="7">
        <v>49</v>
      </c>
      <c r="AD23" s="14">
        <f>TIME(0,AB23,AC23)</f>
        <v>6.8171296296296287E-3</v>
      </c>
      <c r="AE23" s="7">
        <v>385</v>
      </c>
      <c r="AF23" s="7">
        <f>AE$2-AE23</f>
        <v>0</v>
      </c>
      <c r="AG23" s="14">
        <f>AD23+TIME(0,0,AF23)</f>
        <v>6.8171296296296287E-3</v>
      </c>
      <c r="AH23" s="7">
        <f>RANK(AG23,AG$8:AG$29,1)</f>
        <v>10</v>
      </c>
      <c r="AI23" s="7">
        <f>VLOOKUP(AH23,'Место-баллы'!$A$3:$E$52,2,0)</f>
        <v>67</v>
      </c>
      <c r="AJ23" s="10"/>
      <c r="AK23" s="7">
        <v>8</v>
      </c>
      <c r="AL23" s="7">
        <v>5</v>
      </c>
      <c r="AM23" s="14">
        <f>TIME(0,AK23,AL23)</f>
        <v>5.6134259259259271E-3</v>
      </c>
      <c r="AN23" s="7">
        <v>153</v>
      </c>
      <c r="AO23" s="7">
        <f>AN$2-AN23</f>
        <v>7</v>
      </c>
      <c r="AP23" s="14">
        <f>AM23+TIME(0,0,AO23)</f>
        <v>5.6944444444444456E-3</v>
      </c>
      <c r="AQ23" s="7">
        <f>RANK(AP23,AP$8:AP$29,1)</f>
        <v>18</v>
      </c>
      <c r="AR23" s="7">
        <f>VLOOKUP(AQ23,'Место-баллы'!$A$3:$E$52,2,0)</f>
        <v>51</v>
      </c>
    </row>
    <row r="24" spans="2:44" x14ac:dyDescent="0.25">
      <c r="B24" s="7">
        <f>RANK(C24,C$8:C$29,0)</f>
        <v>17</v>
      </c>
      <c r="C24" s="7">
        <f>SUMIF($H$1:$AR$1,1,$H24:$AR24)</f>
        <v>277</v>
      </c>
      <c r="D24" s="10"/>
      <c r="E24" s="13" t="s">
        <v>82</v>
      </c>
      <c r="F24" s="16" t="s">
        <v>212</v>
      </c>
      <c r="G24" s="10"/>
      <c r="H24" s="7">
        <v>61</v>
      </c>
      <c r="I24" s="7">
        <f>RANK(H24,H$8:H$29,0)</f>
        <v>15</v>
      </c>
      <c r="J24" s="7">
        <f>VLOOKUP(I24,'Место-баллы'!$A$3:$E$52,2,0)</f>
        <v>57</v>
      </c>
      <c r="K24" s="10"/>
      <c r="L24" s="7">
        <f>10*61</f>
        <v>610</v>
      </c>
      <c r="M24" s="7">
        <f>RANK(L24,L$8:L$29,0)</f>
        <v>18</v>
      </c>
      <c r="N24" s="7">
        <f>VLOOKUP(M24,'Место-баллы'!$A$3:$E$52,2,0)</f>
        <v>51</v>
      </c>
      <c r="O24" s="10"/>
      <c r="P24" s="7">
        <v>8</v>
      </c>
      <c r="Q24" s="7">
        <v>5</v>
      </c>
      <c r="R24" s="14">
        <f>TIME(0,P24,Q24)</f>
        <v>5.6134259259259271E-3</v>
      </c>
      <c r="S24" s="7">
        <v>86</v>
      </c>
      <c r="T24" s="7">
        <f>S$2-S24</f>
        <v>49</v>
      </c>
      <c r="U24" s="14">
        <f>R24+TIME(0,0,T24)</f>
        <v>6.1805555555555563E-3</v>
      </c>
      <c r="V24" s="7">
        <f>RANK(U24,U$8:U$29,1)</f>
        <v>19</v>
      </c>
      <c r="W24" s="7">
        <f>VLOOKUP(V24,'Место-баллы'!$A$3:$E$52,2,0)</f>
        <v>49</v>
      </c>
      <c r="X24" s="10"/>
      <c r="Y24" s="7">
        <v>8</v>
      </c>
      <c r="Z24" s="7">
        <v>44</v>
      </c>
      <c r="AA24" s="14"/>
      <c r="AB24" s="7">
        <v>10</v>
      </c>
      <c r="AC24" s="7">
        <v>37</v>
      </c>
      <c r="AD24" s="14">
        <f>TIME(0,AB24,AC24)</f>
        <v>7.3726851851851861E-3</v>
      </c>
      <c r="AE24" s="7">
        <v>385</v>
      </c>
      <c r="AF24" s="7">
        <f>AE$2-AE24</f>
        <v>0</v>
      </c>
      <c r="AG24" s="14">
        <f>AD24+TIME(0,0,AF24)</f>
        <v>7.3726851851851861E-3</v>
      </c>
      <c r="AH24" s="7">
        <f>RANK(AG24,AG$8:AG$29,1)</f>
        <v>14</v>
      </c>
      <c r="AI24" s="7">
        <f>VLOOKUP(AH24,'Место-баллы'!$A$3:$E$52,2,0)</f>
        <v>59</v>
      </c>
      <c r="AJ24" s="10"/>
      <c r="AK24" s="7">
        <v>8</v>
      </c>
      <c r="AL24" s="7">
        <v>5</v>
      </c>
      <c r="AM24" s="14">
        <f>TIME(0,AK24,AL24)</f>
        <v>5.6134259259259271E-3</v>
      </c>
      <c r="AN24" s="7">
        <v>155</v>
      </c>
      <c r="AO24" s="7">
        <f>AN$2-AN24</f>
        <v>5</v>
      </c>
      <c r="AP24" s="14">
        <f>AM24+TIME(0,0,AO24)</f>
        <v>5.6712962962962975E-3</v>
      </c>
      <c r="AQ24" s="7">
        <f>RANK(AP24,AP$8:AP$29,1)</f>
        <v>13</v>
      </c>
      <c r="AR24" s="7">
        <f>VLOOKUP(AQ24,'Место-баллы'!$A$3:$E$52,2,0)</f>
        <v>61</v>
      </c>
    </row>
    <row r="25" spans="2:44" x14ac:dyDescent="0.25">
      <c r="B25" s="7">
        <v>18</v>
      </c>
      <c r="C25" s="7">
        <f>SUMIF($H$1:$AR$1,1,$H25:$AR25)</f>
        <v>277</v>
      </c>
      <c r="D25" s="10"/>
      <c r="E25" s="13" t="s">
        <v>79</v>
      </c>
      <c r="F25" s="13" t="s">
        <v>100</v>
      </c>
      <c r="G25" s="10"/>
      <c r="H25" s="7">
        <v>60</v>
      </c>
      <c r="I25" s="7">
        <f>RANK(H25,H$8:H$29,0)</f>
        <v>17</v>
      </c>
      <c r="J25" s="7">
        <f>VLOOKUP(I25,'Место-баллы'!$A$3:$E$52,2,0)</f>
        <v>53</v>
      </c>
      <c r="K25" s="10"/>
      <c r="L25" s="7">
        <f>11*60</f>
        <v>660</v>
      </c>
      <c r="M25" s="7">
        <f>RANK(L25,L$8:L$29,0)</f>
        <v>16</v>
      </c>
      <c r="N25" s="7">
        <f>VLOOKUP(M25,'Место-баллы'!$A$3:$E$52,2,0)</f>
        <v>55</v>
      </c>
      <c r="O25" s="10"/>
      <c r="P25" s="7">
        <v>8</v>
      </c>
      <c r="Q25" s="7">
        <v>5</v>
      </c>
      <c r="R25" s="14">
        <f>TIME(0,P25,Q25)</f>
        <v>5.6134259259259271E-3</v>
      </c>
      <c r="S25" s="7">
        <v>93</v>
      </c>
      <c r="T25" s="7">
        <f>S$2-S25</f>
        <v>42</v>
      </c>
      <c r="U25" s="14">
        <f>R25+TIME(0,0,T25)</f>
        <v>6.0995370370370379E-3</v>
      </c>
      <c r="V25" s="7">
        <f>RANK(U25,U$8:U$29,1)</f>
        <v>17</v>
      </c>
      <c r="W25" s="7">
        <f>VLOOKUP(V25,'Место-баллы'!$A$3:$E$52,2,0)</f>
        <v>53</v>
      </c>
      <c r="X25" s="10"/>
      <c r="Y25" s="7">
        <v>9</v>
      </c>
      <c r="Z25" s="7">
        <v>1</v>
      </c>
      <c r="AA25" s="14"/>
      <c r="AB25" s="7">
        <v>11</v>
      </c>
      <c r="AC25" s="7">
        <v>3</v>
      </c>
      <c r="AD25" s="14">
        <f>TIME(0,AB25,AC25)</f>
        <v>7.6736111111111111E-3</v>
      </c>
      <c r="AE25" s="7">
        <v>385</v>
      </c>
      <c r="AF25" s="7">
        <f>AE$2-AE25</f>
        <v>0</v>
      </c>
      <c r="AG25" s="14">
        <f>AD25+TIME(0,0,AF25)</f>
        <v>7.6736111111111111E-3</v>
      </c>
      <c r="AH25" s="7">
        <f>RANK(AG25,AG$8:AG$29,1)</f>
        <v>16</v>
      </c>
      <c r="AI25" s="7">
        <f>VLOOKUP(AH25,'Место-баллы'!$A$3:$E$52,2,0)</f>
        <v>55</v>
      </c>
      <c r="AJ25" s="10"/>
      <c r="AK25" s="7">
        <v>8</v>
      </c>
      <c r="AL25" s="7">
        <v>5</v>
      </c>
      <c r="AM25" s="14">
        <f>TIME(0,AK25,AL25)</f>
        <v>5.6134259259259271E-3</v>
      </c>
      <c r="AN25" s="7">
        <v>155</v>
      </c>
      <c r="AO25" s="7">
        <f>AN$2-AN25</f>
        <v>5</v>
      </c>
      <c r="AP25" s="14">
        <f>AM25+TIME(0,0,AO25)</f>
        <v>5.6712962962962975E-3</v>
      </c>
      <c r="AQ25" s="7">
        <f>RANK(AP25,AP$8:AP$29,1)</f>
        <v>13</v>
      </c>
      <c r="AR25" s="7">
        <f>VLOOKUP(AQ25,'Место-баллы'!$A$3:$E$52,2,0)</f>
        <v>61</v>
      </c>
    </row>
    <row r="26" spans="2:44" x14ac:dyDescent="0.25">
      <c r="B26" s="7">
        <f>RANK(C26,C$8:C$29,0)</f>
        <v>19</v>
      </c>
      <c r="C26" s="7">
        <f>SUMIF($H$1:$AR$1,1,$H26:$AR26)</f>
        <v>255</v>
      </c>
      <c r="D26" s="10"/>
      <c r="E26" s="13" t="s">
        <v>87</v>
      </c>
      <c r="F26" s="13" t="s">
        <v>98</v>
      </c>
      <c r="G26" s="10"/>
      <c r="H26" s="7">
        <v>55</v>
      </c>
      <c r="I26" s="7">
        <f>RANK(H26,H$8:H$29,0)</f>
        <v>20</v>
      </c>
      <c r="J26" s="7">
        <f>VLOOKUP(I26,'Место-баллы'!$A$3:$E$52,2,0)</f>
        <v>47</v>
      </c>
      <c r="K26" s="10"/>
      <c r="L26" s="7">
        <f>13*55</f>
        <v>715</v>
      </c>
      <c r="M26" s="7">
        <f>RANK(L26,L$8:L$29,0)</f>
        <v>12</v>
      </c>
      <c r="N26" s="7">
        <f>VLOOKUP(M26,'Место-баллы'!$A$3:$E$52,2,0)</f>
        <v>63</v>
      </c>
      <c r="O26" s="10"/>
      <c r="P26" s="7">
        <v>8</v>
      </c>
      <c r="Q26" s="7">
        <v>5</v>
      </c>
      <c r="R26" s="14">
        <f>TIME(0,P26,Q26)</f>
        <v>5.6134259259259271E-3</v>
      </c>
      <c r="S26" s="7">
        <v>78</v>
      </c>
      <c r="T26" s="7">
        <f>S$2-S26</f>
        <v>57</v>
      </c>
      <c r="U26" s="14">
        <f>R26+TIME(0,0,T26)</f>
        <v>6.2731481481481492E-3</v>
      </c>
      <c r="V26" s="7">
        <f>RANK(U26,U$8:U$29,1)</f>
        <v>21</v>
      </c>
      <c r="W26" s="7">
        <f>VLOOKUP(V26,'Место-баллы'!$A$3:$E$52,2,0)</f>
        <v>45</v>
      </c>
      <c r="X26" s="10"/>
      <c r="Y26" s="7">
        <v>9</v>
      </c>
      <c r="Z26" s="7">
        <v>28</v>
      </c>
      <c r="AA26" s="14"/>
      <c r="AB26" s="7">
        <v>11</v>
      </c>
      <c r="AC26" s="7">
        <v>0</v>
      </c>
      <c r="AD26" s="14">
        <f>TIME(0,AB26,AC26)</f>
        <v>7.6388888888888886E-3</v>
      </c>
      <c r="AE26" s="7">
        <v>385</v>
      </c>
      <c r="AF26" s="7">
        <f>AE$2-AE26</f>
        <v>0</v>
      </c>
      <c r="AG26" s="14">
        <f>AD26+TIME(0,0,AF26)</f>
        <v>7.6388888888888886E-3</v>
      </c>
      <c r="AH26" s="7">
        <f>RANK(AG26,AG$8:AG$29,1)</f>
        <v>15</v>
      </c>
      <c r="AI26" s="7">
        <f>VLOOKUP(AH26,'Место-баллы'!$A$3:$E$52,2,0)</f>
        <v>57</v>
      </c>
      <c r="AJ26" s="10"/>
      <c r="AK26" s="7">
        <v>8</v>
      </c>
      <c r="AL26" s="7">
        <v>5</v>
      </c>
      <c r="AM26" s="14">
        <f>TIME(0,AK26,AL26)</f>
        <v>5.6134259259259271E-3</v>
      </c>
      <c r="AN26" s="7">
        <v>151</v>
      </c>
      <c r="AO26" s="7">
        <f>AN$2-AN26</f>
        <v>9</v>
      </c>
      <c r="AP26" s="14">
        <f>AM26+TIME(0,0,AO26)</f>
        <v>5.7175925925925936E-3</v>
      </c>
      <c r="AQ26" s="7">
        <f>RANK(AP26,AP$8:AP$29,1)</f>
        <v>22</v>
      </c>
      <c r="AR26" s="7">
        <f>VLOOKUP(AQ26,'Место-баллы'!$A$3:$E$52,2,0)</f>
        <v>43</v>
      </c>
    </row>
    <row r="27" spans="2:44" x14ac:dyDescent="0.25">
      <c r="B27" s="7">
        <f>RANK(C27,C$8:C$29,0)</f>
        <v>20</v>
      </c>
      <c r="C27" s="7">
        <f>SUMIF($H$1:$AR$1,1,$H27:$AR27)</f>
        <v>249</v>
      </c>
      <c r="D27" s="10"/>
      <c r="E27" s="13" t="s">
        <v>85</v>
      </c>
      <c r="F27" s="13" t="s">
        <v>98</v>
      </c>
      <c r="G27" s="10"/>
      <c r="H27" s="7">
        <v>60</v>
      </c>
      <c r="I27" s="7">
        <f>RANK(H27,H$8:H$29,0)</f>
        <v>17</v>
      </c>
      <c r="J27" s="7">
        <f>VLOOKUP(I27,'Место-баллы'!$A$3:$E$52,2,0)</f>
        <v>53</v>
      </c>
      <c r="K27" s="10"/>
      <c r="L27" s="7">
        <f>9*60</f>
        <v>540</v>
      </c>
      <c r="M27" s="7">
        <f>RANK(L27,L$8:L$29,0)</f>
        <v>20</v>
      </c>
      <c r="N27" s="7">
        <f>VLOOKUP(M27,'Место-баллы'!$A$3:$E$52,2,0)</f>
        <v>47</v>
      </c>
      <c r="O27" s="10"/>
      <c r="P27" s="7">
        <v>8</v>
      </c>
      <c r="Q27" s="7">
        <v>5</v>
      </c>
      <c r="R27" s="14">
        <f>TIME(0,P27,Q27)</f>
        <v>5.6134259259259271E-3</v>
      </c>
      <c r="S27" s="7">
        <v>101</v>
      </c>
      <c r="T27" s="7">
        <f>S$2-S27</f>
        <v>34</v>
      </c>
      <c r="U27" s="14">
        <f>R27+TIME(0,0,T27)</f>
        <v>6.0069444444444458E-3</v>
      </c>
      <c r="V27" s="7">
        <f>RANK(U27,U$8:U$29,1)</f>
        <v>16</v>
      </c>
      <c r="W27" s="7">
        <f>VLOOKUP(V27,'Место-баллы'!$A$3:$E$52,2,0)</f>
        <v>55</v>
      </c>
      <c r="X27" s="10"/>
      <c r="Y27" s="7"/>
      <c r="Z27" s="7"/>
      <c r="AA27" s="14"/>
      <c r="AB27" s="7">
        <v>12</v>
      </c>
      <c r="AC27" s="7">
        <v>5</v>
      </c>
      <c r="AD27" s="14">
        <f>TIME(0,AB27,AC27)</f>
        <v>8.3912037037037045E-3</v>
      </c>
      <c r="AE27" s="7">
        <v>270</v>
      </c>
      <c r="AF27" s="7">
        <f>AE$2-AE27</f>
        <v>115</v>
      </c>
      <c r="AG27" s="14">
        <f>AD27+TIME(0,0,AF27)</f>
        <v>9.7222222222222224E-3</v>
      </c>
      <c r="AH27" s="7">
        <f>RANK(AG27,AG$8:AG$29,1)</f>
        <v>22</v>
      </c>
      <c r="AI27" s="7">
        <f>VLOOKUP(AH27,'Место-баллы'!$A$3:$E$52,2,0)</f>
        <v>43</v>
      </c>
      <c r="AJ27" s="10"/>
      <c r="AK27" s="7">
        <v>8</v>
      </c>
      <c r="AL27" s="7">
        <v>5</v>
      </c>
      <c r="AM27" s="14">
        <f>TIME(0,AK27,AL27)</f>
        <v>5.6134259259259271E-3</v>
      </c>
      <c r="AN27" s="7">
        <v>153</v>
      </c>
      <c r="AO27" s="7">
        <f>AN$2-AN27</f>
        <v>7</v>
      </c>
      <c r="AP27" s="14">
        <f>AM27+TIME(0,0,AO27)</f>
        <v>5.6944444444444456E-3</v>
      </c>
      <c r="AQ27" s="7">
        <f>RANK(AP27,AP$8:AP$29,1)</f>
        <v>18</v>
      </c>
      <c r="AR27" s="7">
        <f>VLOOKUP(AQ27,'Место-баллы'!$A$3:$E$52,2,0)</f>
        <v>51</v>
      </c>
    </row>
    <row r="28" spans="2:44" x14ac:dyDescent="0.25">
      <c r="B28" s="7">
        <f>RANK(C28,C$8:C$29,0)</f>
        <v>21</v>
      </c>
      <c r="C28" s="7">
        <f>SUMIF($H$1:$AR$1,1,$H28:$AR28)</f>
        <v>239</v>
      </c>
      <c r="D28" s="10"/>
      <c r="E28" s="13" t="s">
        <v>77</v>
      </c>
      <c r="F28" s="13" t="s">
        <v>98</v>
      </c>
      <c r="G28" s="10"/>
      <c r="H28" s="7">
        <v>55</v>
      </c>
      <c r="I28" s="7">
        <f>RANK(H28,H$8:H$29,0)</f>
        <v>20</v>
      </c>
      <c r="J28" s="7">
        <f>VLOOKUP(I28,'Место-баллы'!$A$3:$E$52,2,0)</f>
        <v>47</v>
      </c>
      <c r="K28" s="10"/>
      <c r="L28" s="7">
        <f>11*55</f>
        <v>605</v>
      </c>
      <c r="M28" s="7">
        <f>RANK(L28,L$8:L$29,0)</f>
        <v>19</v>
      </c>
      <c r="N28" s="7">
        <f>VLOOKUP(M28,'Место-баллы'!$A$3:$E$52,2,0)</f>
        <v>49</v>
      </c>
      <c r="O28" s="10"/>
      <c r="P28" s="7">
        <v>8</v>
      </c>
      <c r="Q28" s="7">
        <v>5</v>
      </c>
      <c r="R28" s="14">
        <f>TIME(0,P28,Q28)</f>
        <v>5.6134259259259271E-3</v>
      </c>
      <c r="S28" s="7">
        <v>86</v>
      </c>
      <c r="T28" s="7">
        <f>S$2-S28</f>
        <v>49</v>
      </c>
      <c r="U28" s="14">
        <f>R28+TIME(0,0,T28)</f>
        <v>6.1805555555555563E-3</v>
      </c>
      <c r="V28" s="7">
        <f>RANK(U28,U$8:U$29,1)</f>
        <v>19</v>
      </c>
      <c r="W28" s="7">
        <f>VLOOKUP(V28,'Место-баллы'!$A$3:$E$52,2,0)</f>
        <v>49</v>
      </c>
      <c r="X28" s="10"/>
      <c r="Y28" s="7">
        <v>9</v>
      </c>
      <c r="Z28" s="7">
        <v>9</v>
      </c>
      <c r="AA28" s="14">
        <f>TIME(0,Y28,Z28)</f>
        <v>6.3541666666666668E-3</v>
      </c>
      <c r="AB28" s="7">
        <v>12</v>
      </c>
      <c r="AC28" s="7">
        <v>5</v>
      </c>
      <c r="AD28" s="14">
        <f>TIME(0,AB28,AC28)</f>
        <v>8.3912037037037045E-3</v>
      </c>
      <c r="AE28" s="7">
        <f>285+50</f>
        <v>335</v>
      </c>
      <c r="AF28" s="7">
        <f>AE$2-AE28</f>
        <v>50</v>
      </c>
      <c r="AG28" s="14">
        <f>AD28+TIME(0,0,AF28)</f>
        <v>8.9699074074074091E-3</v>
      </c>
      <c r="AH28" s="7">
        <v>19</v>
      </c>
      <c r="AI28" s="7">
        <f>VLOOKUP(AH28,'Место-баллы'!$A$3:$E$52,2,0)</f>
        <v>49</v>
      </c>
      <c r="AJ28" s="10"/>
      <c r="AK28" s="7">
        <v>8</v>
      </c>
      <c r="AL28" s="7">
        <v>5</v>
      </c>
      <c r="AM28" s="14">
        <f>TIME(0,AK28,AL28)</f>
        <v>5.6134259259259271E-3</v>
      </c>
      <c r="AN28" s="7">
        <v>152</v>
      </c>
      <c r="AO28" s="7">
        <f>AN$2-AN28</f>
        <v>8</v>
      </c>
      <c r="AP28" s="14">
        <f>AM28+TIME(0,0,AO28)</f>
        <v>5.70601851851852E-3</v>
      </c>
      <c r="AQ28" s="7">
        <f>RANK(AP28,AP$8:AP$29,1)</f>
        <v>21</v>
      </c>
      <c r="AR28" s="7">
        <f>VLOOKUP(AQ28,'Место-баллы'!$A$3:$E$52,2,0)</f>
        <v>45</v>
      </c>
    </row>
    <row r="29" spans="2:44" x14ac:dyDescent="0.25">
      <c r="B29" s="7">
        <f>RANK(C29,C$8:C$29,0)</f>
        <v>22</v>
      </c>
      <c r="C29" s="7">
        <f>SUMIF($H$1:$AR$1,1,$H29:$AR29)</f>
        <v>235</v>
      </c>
      <c r="D29" s="10"/>
      <c r="E29" s="13" t="s">
        <v>83</v>
      </c>
      <c r="F29" s="13" t="s">
        <v>98</v>
      </c>
      <c r="G29" s="10"/>
      <c r="H29" s="7">
        <v>60</v>
      </c>
      <c r="I29" s="7">
        <f>RANK(H29,H$8:H$29,0)</f>
        <v>17</v>
      </c>
      <c r="J29" s="7">
        <f>VLOOKUP(I29,'Место-баллы'!$A$3:$E$52,2,0)</f>
        <v>53</v>
      </c>
      <c r="K29" s="10"/>
      <c r="L29" s="7">
        <f>6*60</f>
        <v>360</v>
      </c>
      <c r="M29" s="7">
        <f>RANK(L29,L$8:L$29,0)</f>
        <v>22</v>
      </c>
      <c r="N29" s="7">
        <f>VLOOKUP(M29,'Место-баллы'!$A$3:$E$52,2,0)</f>
        <v>43</v>
      </c>
      <c r="O29" s="10"/>
      <c r="P29" s="7">
        <v>8</v>
      </c>
      <c r="Q29" s="7">
        <v>5</v>
      </c>
      <c r="R29" s="14">
        <f>TIME(0,P29,Q29)</f>
        <v>5.6134259259259271E-3</v>
      </c>
      <c r="S29" s="7">
        <v>65</v>
      </c>
      <c r="T29" s="7">
        <f>S$2-S29</f>
        <v>70</v>
      </c>
      <c r="U29" s="14">
        <f>R29+TIME(0,0,T29)</f>
        <v>6.4236111111111126E-3</v>
      </c>
      <c r="V29" s="7">
        <f>RANK(U29,U$8:U$29,1)</f>
        <v>22</v>
      </c>
      <c r="W29" s="7">
        <f>VLOOKUP(V29,'Место-баллы'!$A$3:$E$52,2,0)</f>
        <v>43</v>
      </c>
      <c r="X29" s="10"/>
      <c r="Y29" s="7">
        <v>11</v>
      </c>
      <c r="Z29" s="7">
        <v>55</v>
      </c>
      <c r="AA29" s="14"/>
      <c r="AB29" s="7">
        <v>12</v>
      </c>
      <c r="AC29" s="7">
        <v>5</v>
      </c>
      <c r="AD29" s="14">
        <f>TIME(0,AB29,AC29)</f>
        <v>8.3912037037037045E-3</v>
      </c>
      <c r="AE29" s="7">
        <v>285</v>
      </c>
      <c r="AF29" s="7">
        <f>AE$2-AE29</f>
        <v>100</v>
      </c>
      <c r="AG29" s="14">
        <f>AD29+TIME(0,0,AF29)</f>
        <v>9.5486111111111119E-3</v>
      </c>
      <c r="AH29" s="7">
        <f>RANK(AG29,AG$8:AG$29,1)</f>
        <v>21</v>
      </c>
      <c r="AI29" s="7">
        <f>VLOOKUP(AH29,'Место-баллы'!$A$3:$E$52,2,0)</f>
        <v>45</v>
      </c>
      <c r="AJ29" s="10"/>
      <c r="AK29" s="7">
        <v>8</v>
      </c>
      <c r="AL29" s="7">
        <v>5</v>
      </c>
      <c r="AM29" s="14">
        <f>TIME(0,AK29,AL29)</f>
        <v>5.6134259259259271E-3</v>
      </c>
      <c r="AN29" s="7">
        <v>153</v>
      </c>
      <c r="AO29" s="7">
        <f>AN$2-AN29</f>
        <v>7</v>
      </c>
      <c r="AP29" s="14">
        <f>AM29+TIME(0,0,AO29)</f>
        <v>5.6944444444444456E-3</v>
      </c>
      <c r="AQ29" s="7">
        <f>RANK(AP29,AP$8:AP$29,1)</f>
        <v>18</v>
      </c>
      <c r="AR29" s="7">
        <f>VLOOKUP(AQ29,'Место-баллы'!$A$3:$E$52,2,0)</f>
        <v>51</v>
      </c>
    </row>
    <row r="30" spans="2:44" ht="15.75" customHeight="1" x14ac:dyDescent="0.25"/>
    <row r="31" spans="2:44" ht="15.75" customHeight="1" x14ac:dyDescent="0.25"/>
    <row r="32" spans="2:44" ht="15.75" customHeight="1" x14ac:dyDescent="0.25"/>
  </sheetData>
  <autoFilter ref="B7:AR7" xr:uid="{2B0266BB-F8E8-48C9-BA60-25D971A3C3CA}">
    <sortState xmlns:xlrd2="http://schemas.microsoft.com/office/spreadsheetml/2017/richdata2" ref="B8:AR29">
      <sortCondition ref="B7"/>
    </sortState>
  </autoFilter>
  <mergeCells count="7">
    <mergeCell ref="AK5:AR6"/>
    <mergeCell ref="B5:C6"/>
    <mergeCell ref="E5:F6"/>
    <mergeCell ref="H5:J6"/>
    <mergeCell ref="L5:N6"/>
    <mergeCell ref="P5:W6"/>
    <mergeCell ref="Y5:AI6"/>
  </mergeCells>
  <printOptions horizontalCentered="1" verticalCentered="1"/>
  <pageMargins left="0" right="0" top="0" bottom="0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B4FC-3260-4779-8B52-BD5F7383B7B9}">
  <sheetPr>
    <pageSetUpPr fitToPage="1"/>
  </sheetPr>
  <dimension ref="B1:BI13"/>
  <sheetViews>
    <sheetView tabSelected="1"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R17" sqref="R17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" bestFit="1" customWidth="1"/>
    <col min="6" max="6" width="22.28515625" hidden="1" customWidth="1" outlineLevel="1"/>
    <col min="7" max="7" width="1.42578125" customWidth="1" collapsed="1"/>
    <col min="8" max="8" width="7.85546875" hidden="1" customWidth="1" outlineLevel="1"/>
    <col min="9" max="9" width="7.140625" customWidth="1" collapsed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hidden="1" customWidth="1" outlineLevel="1"/>
    <col min="15" max="15" width="6.85546875" hidden="1" customWidth="1" outlineLevel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9.140625" bestFit="1" customWidth="1" collapsed="1"/>
    <col min="24" max="24" width="5.140625" hidden="1" customWidth="1" outlineLevel="1"/>
    <col min="25" max="25" width="4.28515625" hidden="1" customWidth="1" outlineLevel="1"/>
    <col min="26" max="26" width="7.140625" customWidth="1" collapsed="1"/>
    <col min="27" max="27" width="6.85546875" customWidth="1"/>
    <col min="28" max="28" width="7.85546875" hidden="1" customWidth="1" outlineLevel="1"/>
    <col min="29" max="29" width="7.140625" hidden="1" customWidth="1" outlineLevel="1"/>
    <col min="30" max="30" width="7.140625" customWidth="1" collapsed="1"/>
    <col min="31" max="31" width="6.85546875" customWidth="1"/>
    <col min="32" max="32" width="1.42578125" customWidth="1"/>
    <col min="33" max="33" width="5.140625" hidden="1" customWidth="1" outlineLevel="1"/>
    <col min="34" max="34" width="4.28515625" hidden="1" customWidth="1" outlineLevel="1"/>
    <col min="35" max="35" width="7.140625" customWidth="1" collapsed="1"/>
    <col min="36" max="36" width="6.85546875" customWidth="1"/>
    <col min="37" max="37" width="7.85546875" hidden="1" customWidth="1" outlineLevel="1"/>
    <col min="38" max="38" width="7.140625" hidden="1" customWidth="1" outlineLevel="1"/>
    <col min="39" max="39" width="7.140625" customWidth="1" collapsed="1"/>
    <col min="40" max="40" width="6.85546875" customWidth="1"/>
    <col min="41" max="41" width="1.42578125" customWidth="1"/>
    <col min="42" max="42" width="5.140625" hidden="1" customWidth="1" outlineLevel="1"/>
    <col min="43" max="43" width="4.28515625" hidden="1" customWidth="1" outlineLevel="1"/>
    <col min="44" max="44" width="7.140625" customWidth="1" collapsed="1"/>
    <col min="45" max="45" width="6.85546875" hidden="1" customWidth="1" outlineLevel="1"/>
    <col min="46" max="46" width="7.85546875" hidden="1" customWidth="1" outlineLevel="1"/>
    <col min="47" max="47" width="7.140625" hidden="1" customWidth="1" outlineLevel="1"/>
    <col min="48" max="48" width="7.140625" customWidth="1" collapsed="1"/>
    <col min="49" max="49" width="6.85546875" customWidth="1"/>
    <col min="50" max="50" width="1.42578125" customWidth="1"/>
    <col min="51" max="51" width="5.140625" hidden="1" customWidth="1" outlineLevel="1"/>
    <col min="52" max="52" width="4.28515625" hidden="1" customWidth="1" outlineLevel="1"/>
    <col min="53" max="53" width="9.42578125" hidden="1" customWidth="1" outlineLevel="1"/>
    <col min="54" max="54" width="5.140625" hidden="1" customWidth="1" outlineLevel="1"/>
    <col min="55" max="55" width="4.28515625" hidden="1" customWidth="1" outlineLevel="1"/>
    <col min="56" max="56" width="7.140625" customWidth="1" collapsed="1"/>
    <col min="57" max="57" width="6.85546875" hidden="1" customWidth="1" outlineLevel="1"/>
    <col min="58" max="58" width="7.85546875" hidden="1" customWidth="1" outlineLevel="1"/>
    <col min="59" max="59" width="7.140625" hidden="1" customWidth="1" outlineLevel="1"/>
    <col min="60" max="60" width="7.140625" customWidth="1" collapsed="1"/>
    <col min="61" max="61" width="6.85546875" customWidth="1"/>
  </cols>
  <sheetData>
    <row r="1" spans="2:61" x14ac:dyDescent="0.25">
      <c r="E1" s="12"/>
      <c r="F1" s="12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X1" s="3"/>
      <c r="Y1" s="3"/>
      <c r="Z1" s="3"/>
      <c r="AA1" s="3"/>
      <c r="AB1" s="3"/>
      <c r="AC1" s="3"/>
      <c r="AD1" s="3"/>
      <c r="AE1" s="43">
        <v>1</v>
      </c>
      <c r="AG1" s="3"/>
      <c r="AH1" s="3"/>
      <c r="AI1" s="3"/>
      <c r="AJ1" s="3"/>
      <c r="AK1" s="3"/>
      <c r="AL1" s="3"/>
      <c r="AM1" s="3"/>
      <c r="AN1" s="4">
        <v>1</v>
      </c>
      <c r="AP1" s="3"/>
      <c r="AQ1" s="3"/>
      <c r="AR1" s="3"/>
      <c r="AS1" s="3"/>
      <c r="AT1" s="3"/>
      <c r="AU1" s="3"/>
      <c r="AV1" s="3"/>
      <c r="AW1" s="4">
        <v>1</v>
      </c>
      <c r="BB1" s="3"/>
      <c r="BC1" s="3"/>
      <c r="BD1" s="3"/>
      <c r="BE1" s="3"/>
      <c r="BF1" s="3"/>
      <c r="BG1" s="3"/>
      <c r="BH1" s="3"/>
      <c r="BI1" s="4">
        <v>1</v>
      </c>
    </row>
    <row r="2" spans="2:61" x14ac:dyDescent="0.25">
      <c r="E2" s="12"/>
      <c r="F2" s="12"/>
      <c r="H2" s="3"/>
      <c r="I2" s="3"/>
      <c r="J2" s="3"/>
      <c r="L2" s="3"/>
      <c r="M2" s="3"/>
      <c r="N2" s="3"/>
      <c r="O2" s="5">
        <v>48</v>
      </c>
      <c r="P2" s="3"/>
      <c r="Q2" s="3"/>
      <c r="R2" s="3"/>
      <c r="S2" s="3"/>
      <c r="X2" s="3"/>
      <c r="Y2" s="3"/>
      <c r="Z2" s="3"/>
      <c r="AA2" s="44">
        <v>7</v>
      </c>
      <c r="AB2" s="3"/>
      <c r="AC2" s="3"/>
      <c r="AD2" s="3"/>
      <c r="AE2" s="3"/>
      <c r="AG2" s="3"/>
      <c r="AH2" s="3"/>
      <c r="AI2" s="3"/>
      <c r="AJ2" s="5">
        <v>90</v>
      </c>
      <c r="AK2" s="3"/>
      <c r="AL2" s="3"/>
      <c r="AM2" s="3"/>
      <c r="AN2" s="3"/>
      <c r="AP2" s="3"/>
      <c r="AQ2" s="3"/>
      <c r="AR2" s="3"/>
      <c r="AS2" s="5">
        <v>90</v>
      </c>
      <c r="AT2" s="3"/>
      <c r="AU2" s="3"/>
      <c r="AV2" s="3"/>
      <c r="AW2" s="3"/>
      <c r="BB2" s="3"/>
      <c r="BC2" s="3"/>
      <c r="BD2" s="3"/>
      <c r="BE2" s="5">
        <v>6</v>
      </c>
      <c r="BF2" s="3"/>
      <c r="BG2" s="3"/>
      <c r="BH2" s="3"/>
      <c r="BI2" s="3"/>
    </row>
    <row r="3" spans="2:61" x14ac:dyDescent="0.25">
      <c r="E3" s="12"/>
      <c r="F3" s="12"/>
      <c r="H3" s="6"/>
      <c r="I3" s="3"/>
      <c r="J3" s="3"/>
      <c r="L3" s="3"/>
      <c r="M3" s="3"/>
      <c r="N3" s="3"/>
      <c r="O3" s="6" t="s">
        <v>28</v>
      </c>
      <c r="P3" s="3"/>
      <c r="Q3" s="3"/>
      <c r="R3" s="3"/>
      <c r="S3" s="3"/>
      <c r="X3" s="3"/>
      <c r="Y3" s="3"/>
      <c r="Z3" s="3"/>
      <c r="AA3" s="6" t="s">
        <v>47</v>
      </c>
      <c r="AB3" s="3"/>
      <c r="AC3" s="3"/>
      <c r="AD3" s="3"/>
      <c r="AE3" s="3"/>
      <c r="AG3" s="3"/>
      <c r="AH3" s="3"/>
      <c r="AI3" s="3"/>
      <c r="AJ3" s="6" t="s">
        <v>20</v>
      </c>
      <c r="AK3" s="3"/>
      <c r="AL3" s="3"/>
      <c r="AM3" s="3"/>
      <c r="AN3" s="3"/>
      <c r="AP3" s="3"/>
      <c r="AQ3" s="3"/>
      <c r="AR3" s="3"/>
      <c r="AS3" s="6" t="s">
        <v>32</v>
      </c>
      <c r="AT3" s="3"/>
      <c r="AU3" s="3"/>
      <c r="AV3" s="3"/>
      <c r="AW3" s="3"/>
      <c r="BB3" s="3"/>
      <c r="BC3" s="3"/>
      <c r="BD3" s="3"/>
      <c r="BE3" s="6" t="s">
        <v>20</v>
      </c>
      <c r="BF3" s="3"/>
      <c r="BG3" s="3"/>
      <c r="BH3" s="3"/>
      <c r="BI3" s="3"/>
    </row>
    <row r="4" spans="2:61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X4" s="3"/>
      <c r="Y4" s="3"/>
      <c r="Z4" s="3"/>
      <c r="AA4" s="3"/>
      <c r="AB4" s="3"/>
      <c r="AC4" s="3"/>
      <c r="AD4" s="3"/>
      <c r="AE4" s="3"/>
      <c r="AG4" s="3"/>
      <c r="AH4" s="3"/>
      <c r="AI4" s="3"/>
      <c r="AJ4" s="3"/>
      <c r="AK4" s="3"/>
      <c r="AL4" s="3"/>
      <c r="AM4" s="3"/>
      <c r="AN4" s="3"/>
      <c r="AP4" s="3"/>
      <c r="AQ4" s="3"/>
      <c r="AR4" s="3"/>
      <c r="AS4" s="3"/>
      <c r="AT4" s="3"/>
      <c r="AU4" s="3"/>
      <c r="AV4" s="3"/>
      <c r="AW4" s="3"/>
      <c r="BB4" s="3"/>
      <c r="BC4" s="3"/>
      <c r="BD4" s="3"/>
      <c r="BE4" s="3"/>
      <c r="BF4" s="3"/>
      <c r="BG4" s="3"/>
      <c r="BH4" s="3"/>
      <c r="BI4" s="3"/>
    </row>
    <row r="5" spans="2:61" ht="15" customHeight="1" x14ac:dyDescent="0.25">
      <c r="B5" s="23" t="s">
        <v>4</v>
      </c>
      <c r="C5" s="24"/>
      <c r="D5" s="7"/>
      <c r="E5" s="25" t="s">
        <v>21</v>
      </c>
      <c r="F5" s="26"/>
      <c r="G5" s="7"/>
      <c r="H5" s="23" t="s">
        <v>18</v>
      </c>
      <c r="I5" s="24"/>
      <c r="J5" s="24"/>
      <c r="K5" s="7"/>
      <c r="L5" s="23" t="s">
        <v>5</v>
      </c>
      <c r="M5" s="24"/>
      <c r="N5" s="24"/>
      <c r="O5" s="24"/>
      <c r="P5" s="24"/>
      <c r="Q5" s="24"/>
      <c r="R5" s="24"/>
      <c r="S5" s="24"/>
      <c r="T5" s="7"/>
      <c r="U5" s="25" t="s">
        <v>6</v>
      </c>
      <c r="V5" s="29"/>
      <c r="W5" s="29"/>
      <c r="X5" s="29"/>
      <c r="Y5" s="29"/>
      <c r="Z5" s="29"/>
      <c r="AA5" s="29"/>
      <c r="AB5" s="29"/>
      <c r="AC5" s="29"/>
      <c r="AD5" s="29"/>
      <c r="AE5" s="26"/>
      <c r="AF5" s="7"/>
      <c r="AG5" s="23" t="s">
        <v>7</v>
      </c>
      <c r="AH5" s="24"/>
      <c r="AI5" s="24"/>
      <c r="AJ5" s="24"/>
      <c r="AK5" s="24"/>
      <c r="AL5" s="24"/>
      <c r="AM5" s="24"/>
      <c r="AN5" s="24"/>
      <c r="AO5" s="7"/>
      <c r="AP5" s="23" t="s">
        <v>25</v>
      </c>
      <c r="AQ5" s="24"/>
      <c r="AR5" s="24"/>
      <c r="AS5" s="24"/>
      <c r="AT5" s="24"/>
      <c r="AU5" s="24"/>
      <c r="AV5" s="24"/>
      <c r="AW5" s="24"/>
      <c r="AX5" s="7"/>
      <c r="AY5" s="25" t="s">
        <v>33</v>
      </c>
      <c r="AZ5" s="29"/>
      <c r="BA5" s="29"/>
      <c r="BB5" s="29"/>
      <c r="BC5" s="29"/>
      <c r="BD5" s="29"/>
      <c r="BE5" s="29"/>
      <c r="BF5" s="29"/>
      <c r="BG5" s="29"/>
      <c r="BH5" s="29"/>
      <c r="BI5" s="26"/>
    </row>
    <row r="6" spans="2:61" x14ac:dyDescent="0.25">
      <c r="B6" s="24"/>
      <c r="C6" s="24"/>
      <c r="D6" s="8"/>
      <c r="E6" s="27"/>
      <c r="F6" s="28"/>
      <c r="G6" s="8"/>
      <c r="H6" s="24"/>
      <c r="I6" s="24"/>
      <c r="J6" s="24"/>
      <c r="K6" s="8"/>
      <c r="L6" s="24"/>
      <c r="M6" s="24"/>
      <c r="N6" s="24"/>
      <c r="O6" s="24"/>
      <c r="P6" s="24"/>
      <c r="Q6" s="24"/>
      <c r="R6" s="24"/>
      <c r="S6" s="24"/>
      <c r="T6" s="8"/>
      <c r="U6" s="27"/>
      <c r="V6" s="30"/>
      <c r="W6" s="30"/>
      <c r="X6" s="30"/>
      <c r="Y6" s="30"/>
      <c r="Z6" s="30"/>
      <c r="AA6" s="30"/>
      <c r="AB6" s="30"/>
      <c r="AC6" s="30"/>
      <c r="AD6" s="30"/>
      <c r="AE6" s="28"/>
      <c r="AF6" s="8"/>
      <c r="AG6" s="24"/>
      <c r="AH6" s="24"/>
      <c r="AI6" s="24"/>
      <c r="AJ6" s="24"/>
      <c r="AK6" s="24"/>
      <c r="AL6" s="24"/>
      <c r="AM6" s="24"/>
      <c r="AN6" s="24"/>
      <c r="AO6" s="8"/>
      <c r="AP6" s="24"/>
      <c r="AQ6" s="24"/>
      <c r="AR6" s="24"/>
      <c r="AS6" s="24"/>
      <c r="AT6" s="24"/>
      <c r="AU6" s="24"/>
      <c r="AV6" s="24"/>
      <c r="AW6" s="24"/>
      <c r="AX6" s="8"/>
      <c r="AY6" s="27"/>
      <c r="AZ6" s="30"/>
      <c r="BA6" s="30"/>
      <c r="BB6" s="30"/>
      <c r="BC6" s="30"/>
      <c r="BD6" s="30"/>
      <c r="BE6" s="30"/>
      <c r="BF6" s="30"/>
      <c r="BG6" s="30"/>
      <c r="BH6" s="30"/>
      <c r="BI6" s="28"/>
    </row>
    <row r="7" spans="2:61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1" t="s">
        <v>31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27</v>
      </c>
      <c r="X7" s="11" t="s">
        <v>11</v>
      </c>
      <c r="Y7" s="11" t="s">
        <v>12</v>
      </c>
      <c r="Z7" s="11" t="s">
        <v>13</v>
      </c>
      <c r="AA7" s="18" t="s">
        <v>16</v>
      </c>
      <c r="AB7" s="11" t="s">
        <v>17</v>
      </c>
      <c r="AC7" s="11" t="s">
        <v>13</v>
      </c>
      <c r="AD7" s="11" t="s">
        <v>14</v>
      </c>
      <c r="AE7" s="11" t="s">
        <v>15</v>
      </c>
      <c r="AF7" s="9"/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  <c r="AO7" s="9"/>
      <c r="AP7" s="11" t="s">
        <v>11</v>
      </c>
      <c r="AQ7" s="11" t="s">
        <v>12</v>
      </c>
      <c r="AR7" s="11" t="s">
        <v>13</v>
      </c>
      <c r="AS7" s="18" t="s">
        <v>16</v>
      </c>
      <c r="AT7" s="11" t="s">
        <v>17</v>
      </c>
      <c r="AU7" s="11" t="s">
        <v>13</v>
      </c>
      <c r="AV7" s="11" t="s">
        <v>14</v>
      </c>
      <c r="AW7" s="11" t="s">
        <v>15</v>
      </c>
      <c r="AX7" s="9"/>
      <c r="AY7" s="11" t="s">
        <v>11</v>
      </c>
      <c r="AZ7" s="11" t="s">
        <v>12</v>
      </c>
      <c r="BA7" s="11" t="s">
        <v>27</v>
      </c>
      <c r="BB7" s="11" t="s">
        <v>11</v>
      </c>
      <c r="BC7" s="11" t="s">
        <v>12</v>
      </c>
      <c r="BD7" s="11" t="s">
        <v>13</v>
      </c>
      <c r="BE7" s="18" t="s">
        <v>16</v>
      </c>
      <c r="BF7" s="11" t="s">
        <v>17</v>
      </c>
      <c r="BG7" s="11" t="s">
        <v>13</v>
      </c>
      <c r="BH7" s="11" t="s">
        <v>14</v>
      </c>
      <c r="BI7" s="11" t="s">
        <v>15</v>
      </c>
    </row>
    <row r="8" spans="2:61" x14ac:dyDescent="0.25">
      <c r="B8" s="7">
        <f>RANK(C8,C$8:C$13,0)</f>
        <v>1</v>
      </c>
      <c r="C8" s="7">
        <f>SUMIF($H$1:$BI$1,1,$H8:$BI8)</f>
        <v>570</v>
      </c>
      <c r="D8" s="10"/>
      <c r="E8" s="16" t="s">
        <v>53</v>
      </c>
      <c r="F8" s="13" t="s">
        <v>98</v>
      </c>
      <c r="G8" s="10"/>
      <c r="H8" s="7">
        <f>62+65+67+70+72</f>
        <v>336</v>
      </c>
      <c r="I8" s="7">
        <v>1</v>
      </c>
      <c r="J8" s="7">
        <f>VLOOKUP(I8,'Место-баллы'!$A$3:$E$52,2,0)</f>
        <v>100</v>
      </c>
      <c r="K8" s="10"/>
      <c r="L8" s="7">
        <v>4</v>
      </c>
      <c r="M8" s="7">
        <v>8</v>
      </c>
      <c r="N8" s="14">
        <f>TIME(0,L8,M8)</f>
        <v>2.8703703703703708E-3</v>
      </c>
      <c r="O8" s="7">
        <v>48</v>
      </c>
      <c r="P8" s="7">
        <f>O$2-O8</f>
        <v>0</v>
      </c>
      <c r="Q8" s="14">
        <f>N8+TIME(0,0,P8)</f>
        <v>2.8703703703703708E-3</v>
      </c>
      <c r="R8" s="7">
        <f>RANK(Q8,Q$8:Q$13,1)</f>
        <v>3</v>
      </c>
      <c r="S8" s="7">
        <f>VLOOKUP(R8,'Место-баллы'!$A$3:$E$52,2,0)</f>
        <v>90</v>
      </c>
      <c r="T8" s="10"/>
      <c r="U8" s="7"/>
      <c r="V8" s="7"/>
      <c r="W8" s="14"/>
      <c r="X8" s="7">
        <v>7</v>
      </c>
      <c r="Y8" s="7">
        <v>57</v>
      </c>
      <c r="Z8" s="14">
        <f>TIME(0,X8,Y8)</f>
        <v>5.5208333333333333E-3</v>
      </c>
      <c r="AA8" s="7">
        <v>7</v>
      </c>
      <c r="AB8" s="7">
        <f>AA$2-AA8</f>
        <v>0</v>
      </c>
      <c r="AC8" s="14">
        <f>Z8+TIME(0,0,AB8)</f>
        <v>5.5208333333333333E-3</v>
      </c>
      <c r="AD8" s="7">
        <f>RANK(AC8,AC$8:AC$13,1)</f>
        <v>2</v>
      </c>
      <c r="AE8" s="7">
        <f>VLOOKUP(AD8,'Место-баллы'!$A$3:$E$52,2,0)</f>
        <v>95</v>
      </c>
      <c r="AF8" s="10"/>
      <c r="AG8" s="7">
        <v>4</v>
      </c>
      <c r="AH8" s="7">
        <v>42</v>
      </c>
      <c r="AI8" s="14">
        <f>TIME(0,AG8,AH8)</f>
        <v>3.2638888888888891E-3</v>
      </c>
      <c r="AJ8" s="7">
        <v>90</v>
      </c>
      <c r="AK8" s="7">
        <f>AJ$2-AJ8</f>
        <v>0</v>
      </c>
      <c r="AL8" s="14">
        <f>AI8+TIME(0,0,AK8)</f>
        <v>3.2638888888888891E-3</v>
      </c>
      <c r="AM8" s="7">
        <f>RANK(AL8,AL$8:AL$13,1)</f>
        <v>2</v>
      </c>
      <c r="AN8" s="7">
        <f>VLOOKUP(AM8,'Место-баллы'!$A$3:$E$52,2,0)</f>
        <v>95</v>
      </c>
      <c r="AO8" s="10"/>
      <c r="AP8" s="7">
        <v>4</v>
      </c>
      <c r="AQ8" s="7">
        <v>38</v>
      </c>
      <c r="AR8" s="14">
        <f>TIME(0,AP8,AQ8)</f>
        <v>3.2175925925925926E-3</v>
      </c>
      <c r="AS8" s="7">
        <v>90</v>
      </c>
      <c r="AT8" s="7">
        <f>AS$2-AS8</f>
        <v>0</v>
      </c>
      <c r="AU8" s="14">
        <f>AR8+TIME(0,0,AT8)</f>
        <v>3.2175925925925926E-3</v>
      </c>
      <c r="AV8" s="7">
        <f>RANK(AU8,AU$8:AU$13,1)</f>
        <v>3</v>
      </c>
      <c r="AW8" s="7">
        <f>VLOOKUP(AV8,'Место-баллы'!$A$3:$E$52,2,0)</f>
        <v>90</v>
      </c>
      <c r="AX8" s="10"/>
      <c r="AY8" s="7"/>
      <c r="AZ8" s="7"/>
      <c r="BA8" s="14">
        <f>TIME(0,AY8,AZ8)</f>
        <v>0</v>
      </c>
      <c r="BB8" s="7">
        <v>6</v>
      </c>
      <c r="BC8" s="7">
        <v>50</v>
      </c>
      <c r="BD8" s="14">
        <f>TIME(0,BB8,BC8)</f>
        <v>4.7453703703703703E-3</v>
      </c>
      <c r="BE8" s="7">
        <v>6</v>
      </c>
      <c r="BF8" s="7">
        <f>BE$2-BE8</f>
        <v>0</v>
      </c>
      <c r="BG8" s="14">
        <f>BD8+TIME(0,0,BF8)</f>
        <v>4.7453703703703703E-3</v>
      </c>
      <c r="BH8" s="7">
        <f>RANK(BG8,BG$8:BG$13,1)</f>
        <v>1</v>
      </c>
      <c r="BI8" s="7">
        <f>VLOOKUP(BH8,'Место-баллы'!$A$3:$E$52,2,0)</f>
        <v>100</v>
      </c>
    </row>
    <row r="9" spans="2:61" x14ac:dyDescent="0.25">
      <c r="B9" s="7">
        <f>RANK(C9,C$8:C$13,0)</f>
        <v>2</v>
      </c>
      <c r="C9" s="7">
        <f>SUMIF($H$1:$BI$1,1,$H9:$BI9)</f>
        <v>565</v>
      </c>
      <c r="D9" s="10"/>
      <c r="E9" s="16" t="s">
        <v>48</v>
      </c>
      <c r="F9" s="13"/>
      <c r="G9" s="10"/>
      <c r="H9" s="7">
        <f>60+62+65+67+70</f>
        <v>324</v>
      </c>
      <c r="I9" s="7">
        <f>RANK(H9,H$8:H$13,0)</f>
        <v>5</v>
      </c>
      <c r="J9" s="7">
        <f>VLOOKUP(I9,'Место-баллы'!$A$3:$E$52,2,0)</f>
        <v>80</v>
      </c>
      <c r="K9" s="10"/>
      <c r="L9" s="7">
        <v>3</v>
      </c>
      <c r="M9" s="7">
        <v>17</v>
      </c>
      <c r="N9" s="14">
        <f>TIME(0,L9,M9)</f>
        <v>2.2800925925925927E-3</v>
      </c>
      <c r="O9" s="7">
        <v>48</v>
      </c>
      <c r="P9" s="7">
        <f>O$2-O9</f>
        <v>0</v>
      </c>
      <c r="Q9" s="14">
        <f>N9+TIME(0,0,P9)</f>
        <v>2.2800925925925927E-3</v>
      </c>
      <c r="R9" s="7">
        <f>RANK(Q9,Q$8:Q$13,1)</f>
        <v>1</v>
      </c>
      <c r="S9" s="7">
        <f>VLOOKUP(R9,'Место-баллы'!$A$3:$E$52,2,0)</f>
        <v>100</v>
      </c>
      <c r="T9" s="10"/>
      <c r="U9" s="7"/>
      <c r="V9" s="7"/>
      <c r="W9" s="14"/>
      <c r="X9" s="7">
        <v>7</v>
      </c>
      <c r="Y9" s="7">
        <v>35</v>
      </c>
      <c r="Z9" s="14">
        <f>TIME(0,X9,Y9)</f>
        <v>5.2662037037037035E-3</v>
      </c>
      <c r="AA9" s="7">
        <v>7</v>
      </c>
      <c r="AB9" s="7">
        <f>AA$2-AA9</f>
        <v>0</v>
      </c>
      <c r="AC9" s="14">
        <f>Z9+TIME(0,0,AB9)</f>
        <v>5.2662037037037035E-3</v>
      </c>
      <c r="AD9" s="7">
        <f>RANK(AC9,AC$8:AC$13,1)</f>
        <v>1</v>
      </c>
      <c r="AE9" s="7">
        <f>VLOOKUP(AD9,'Место-баллы'!$A$3:$E$52,2,0)</f>
        <v>100</v>
      </c>
      <c r="AF9" s="10"/>
      <c r="AG9" s="7">
        <v>5</v>
      </c>
      <c r="AH9" s="7">
        <v>29</v>
      </c>
      <c r="AI9" s="14">
        <f>TIME(0,AG9,AH9)</f>
        <v>3.8078703703703707E-3</v>
      </c>
      <c r="AJ9" s="7">
        <v>90</v>
      </c>
      <c r="AK9" s="7">
        <f>AJ$2-AJ9</f>
        <v>0</v>
      </c>
      <c r="AL9" s="14">
        <f>AI9+TIME(0,0,AK9)</f>
        <v>3.8078703703703707E-3</v>
      </c>
      <c r="AM9" s="7">
        <f>RANK(AL9,AL$8:AL$13,1)</f>
        <v>3</v>
      </c>
      <c r="AN9" s="7">
        <f>VLOOKUP(AM9,'Место-баллы'!$A$3:$E$52,2,0)</f>
        <v>90</v>
      </c>
      <c r="AO9" s="10"/>
      <c r="AP9" s="7">
        <v>3</v>
      </c>
      <c r="AQ9" s="7">
        <v>55</v>
      </c>
      <c r="AR9" s="14">
        <f>TIME(0,AP9,AQ9)</f>
        <v>2.7199074074074074E-3</v>
      </c>
      <c r="AS9" s="7">
        <v>90</v>
      </c>
      <c r="AT9" s="7">
        <f>AS$2-AS9</f>
        <v>0</v>
      </c>
      <c r="AU9" s="14">
        <f>AR9+TIME(0,0,AT9)</f>
        <v>2.7199074074074074E-3</v>
      </c>
      <c r="AV9" s="7">
        <f>RANK(AU9,AU$8:AU$13,1)</f>
        <v>1</v>
      </c>
      <c r="AW9" s="7">
        <f>VLOOKUP(AV9,'Место-баллы'!$A$3:$E$52,2,0)</f>
        <v>100</v>
      </c>
      <c r="AX9" s="10"/>
      <c r="AY9" s="31"/>
      <c r="AZ9" s="7"/>
      <c r="BA9" s="14">
        <f>TIME(0,AY9,AZ9)</f>
        <v>0</v>
      </c>
      <c r="BB9" s="31">
        <v>6</v>
      </c>
      <c r="BC9" s="7">
        <v>52</v>
      </c>
      <c r="BD9" s="14">
        <f>TIME(0,BB9,BC9)</f>
        <v>4.7685185185185183E-3</v>
      </c>
      <c r="BE9" s="7">
        <v>6</v>
      </c>
      <c r="BF9" s="7">
        <f>BE$2-BE9</f>
        <v>0</v>
      </c>
      <c r="BG9" s="14">
        <f>BD9+TIME(0,0,BF9)</f>
        <v>4.7685185185185183E-3</v>
      </c>
      <c r="BH9" s="7">
        <f>RANK(BG9,BG$8:BG$13,1)</f>
        <v>2</v>
      </c>
      <c r="BI9" s="7">
        <f>VLOOKUP(BH9,'Место-баллы'!$A$3:$E$52,2,0)</f>
        <v>95</v>
      </c>
    </row>
    <row r="10" spans="2:61" x14ac:dyDescent="0.25">
      <c r="B10" s="7">
        <f>RANK(C10,C$8:C$13,0)</f>
        <v>3</v>
      </c>
      <c r="C10" s="7">
        <f>SUMIF($H$1:$BI$1,1,$H10:$BI10)</f>
        <v>560</v>
      </c>
      <c r="D10" s="10"/>
      <c r="E10" s="16" t="s">
        <v>51</v>
      </c>
      <c r="F10" s="13" t="s">
        <v>98</v>
      </c>
      <c r="G10" s="10"/>
      <c r="H10" s="7">
        <f>62+65+67+70+72</f>
        <v>336</v>
      </c>
      <c r="I10" s="7">
        <v>2</v>
      </c>
      <c r="J10" s="7">
        <f>VLOOKUP(I10,'Место-баллы'!$A$3:$E$52,2,0)</f>
        <v>95</v>
      </c>
      <c r="K10" s="10"/>
      <c r="L10" s="7">
        <v>3</v>
      </c>
      <c r="M10" s="7">
        <v>40</v>
      </c>
      <c r="N10" s="14">
        <f>TIME(0,L10,M10)</f>
        <v>2.5462962962962961E-3</v>
      </c>
      <c r="O10" s="7">
        <v>48</v>
      </c>
      <c r="P10" s="7">
        <f>O$2-O10</f>
        <v>0</v>
      </c>
      <c r="Q10" s="14">
        <f>N10+TIME(0,0,P10)</f>
        <v>2.5462962962962961E-3</v>
      </c>
      <c r="R10" s="7">
        <f>RANK(Q10,Q$8:Q$13,1)</f>
        <v>2</v>
      </c>
      <c r="S10" s="7">
        <f>VLOOKUP(R10,'Место-баллы'!$A$3:$E$52,2,0)</f>
        <v>95</v>
      </c>
      <c r="T10" s="10"/>
      <c r="U10" s="7"/>
      <c r="V10" s="7"/>
      <c r="W10" s="14"/>
      <c r="X10" s="7">
        <v>8</v>
      </c>
      <c r="Y10" s="7">
        <v>5</v>
      </c>
      <c r="Z10" s="14">
        <f>TIME(0,X10,Y10)</f>
        <v>5.6134259259259271E-3</v>
      </c>
      <c r="AA10" s="7">
        <v>7</v>
      </c>
      <c r="AB10" s="7">
        <f>AA$2-AA10</f>
        <v>0</v>
      </c>
      <c r="AC10" s="14">
        <f>Z10+TIME(0,0,AB10)</f>
        <v>5.6134259259259271E-3</v>
      </c>
      <c r="AD10" s="7">
        <f>RANK(AC10,AC$8:AC$13,1)</f>
        <v>3</v>
      </c>
      <c r="AE10" s="7">
        <f>VLOOKUP(AD10,'Место-баллы'!$A$3:$E$52,2,0)</f>
        <v>90</v>
      </c>
      <c r="AF10" s="10"/>
      <c r="AG10" s="7">
        <v>4</v>
      </c>
      <c r="AH10" s="7">
        <v>39</v>
      </c>
      <c r="AI10" s="14">
        <f>TIME(0,AG10,AH10)</f>
        <v>3.2291666666666666E-3</v>
      </c>
      <c r="AJ10" s="7">
        <v>90</v>
      </c>
      <c r="AK10" s="7">
        <f>AJ$2-AJ10</f>
        <v>0</v>
      </c>
      <c r="AL10" s="14">
        <f>AI10+TIME(0,0,AK10)</f>
        <v>3.2291666666666666E-3</v>
      </c>
      <c r="AM10" s="7">
        <f>RANK(AL10,AL$8:AL$13,1)</f>
        <v>1</v>
      </c>
      <c r="AN10" s="7">
        <f>VLOOKUP(AM10,'Место-баллы'!$A$3:$E$52,2,0)</f>
        <v>100</v>
      </c>
      <c r="AO10" s="10"/>
      <c r="AP10" s="7">
        <v>4</v>
      </c>
      <c r="AQ10" s="7">
        <v>33</v>
      </c>
      <c r="AR10" s="14">
        <f>TIME(0,AP10,AQ10)</f>
        <v>3.1597222222222222E-3</v>
      </c>
      <c r="AS10" s="7">
        <v>90</v>
      </c>
      <c r="AT10" s="7">
        <f>AS$2-AS10</f>
        <v>0</v>
      </c>
      <c r="AU10" s="14">
        <f>AR10+TIME(0,0,AT10)</f>
        <v>3.1597222222222222E-3</v>
      </c>
      <c r="AV10" s="7">
        <f>RANK(AU10,AU$8:AU$13,1)</f>
        <v>2</v>
      </c>
      <c r="AW10" s="7">
        <f>VLOOKUP(AV10,'Место-баллы'!$A$3:$E$52,2,0)</f>
        <v>95</v>
      </c>
      <c r="AX10" s="10"/>
      <c r="AY10" s="7"/>
      <c r="AZ10" s="7"/>
      <c r="BA10" s="14">
        <f>TIME(0,AY10,AZ10)</f>
        <v>0</v>
      </c>
      <c r="BB10" s="7">
        <v>8</v>
      </c>
      <c r="BC10" s="7">
        <v>19</v>
      </c>
      <c r="BD10" s="14">
        <f>TIME(0,BB10,BC10)</f>
        <v>5.7754629629629623E-3</v>
      </c>
      <c r="BE10" s="7">
        <v>6</v>
      </c>
      <c r="BF10" s="7">
        <f>BE$2-BE10</f>
        <v>0</v>
      </c>
      <c r="BG10" s="14">
        <f>BD10+TIME(0,0,BF10)</f>
        <v>5.7754629629629623E-3</v>
      </c>
      <c r="BH10" s="7">
        <f>RANK(BG10,BG$8:BG$13,1)</f>
        <v>4</v>
      </c>
      <c r="BI10" s="7">
        <f>VLOOKUP(BH10,'Место-баллы'!$A$3:$E$52,2,0)</f>
        <v>85</v>
      </c>
    </row>
    <row r="11" spans="2:61" x14ac:dyDescent="0.25">
      <c r="B11" s="7">
        <f>RANK(C11,C$8:C$13,0)</f>
        <v>4</v>
      </c>
      <c r="C11" s="7">
        <f>SUMIF($H$1:$BI$1,1,$H11:$BI11)</f>
        <v>500</v>
      </c>
      <c r="D11" s="10"/>
      <c r="E11" s="16" t="s">
        <v>52</v>
      </c>
      <c r="F11" s="13"/>
      <c r="G11" s="10"/>
      <c r="H11" s="7">
        <f>62+65+67+70+72</f>
        <v>336</v>
      </c>
      <c r="I11" s="7">
        <v>3</v>
      </c>
      <c r="J11" s="7">
        <f>VLOOKUP(I11,'Место-баллы'!$A$3:$E$52,2,0)</f>
        <v>90</v>
      </c>
      <c r="K11" s="10"/>
      <c r="L11" s="7">
        <v>5</v>
      </c>
      <c r="M11" s="7">
        <v>16</v>
      </c>
      <c r="N11" s="14">
        <f>TIME(0,L11,M11)</f>
        <v>3.6574074074074074E-3</v>
      </c>
      <c r="O11" s="7">
        <v>48</v>
      </c>
      <c r="P11" s="7">
        <f>O$2-O11</f>
        <v>0</v>
      </c>
      <c r="Q11" s="14">
        <f>N11+TIME(0,0,P11)</f>
        <v>3.6574074074074074E-3</v>
      </c>
      <c r="R11" s="7">
        <f>RANK(Q11,Q$8:Q$13,1)</f>
        <v>5</v>
      </c>
      <c r="S11" s="7">
        <f>VLOOKUP(R11,'Место-баллы'!$A$3:$E$52,2,0)</f>
        <v>80</v>
      </c>
      <c r="T11" s="10"/>
      <c r="U11" s="7">
        <v>7</v>
      </c>
      <c r="V11" s="7">
        <v>31</v>
      </c>
      <c r="W11" s="14">
        <f>TIME(0,U11,V11)</f>
        <v>5.2199074074074066E-3</v>
      </c>
      <c r="X11" s="7">
        <v>8</v>
      </c>
      <c r="Y11" s="7">
        <v>5</v>
      </c>
      <c r="Z11" s="14">
        <f>TIME(0,X11,Y11)</f>
        <v>5.6134259259259271E-3</v>
      </c>
      <c r="AA11" s="7">
        <v>6</v>
      </c>
      <c r="AB11" s="7">
        <f>AA$2-AA11</f>
        <v>1</v>
      </c>
      <c r="AC11" s="14">
        <f>Z11+TIME(0,0,AB11)</f>
        <v>5.6250000000000015E-3</v>
      </c>
      <c r="AD11" s="7">
        <v>6</v>
      </c>
      <c r="AE11" s="7">
        <f>VLOOKUP(AD11,'Место-баллы'!$A$3:$E$52,2,0)</f>
        <v>75</v>
      </c>
      <c r="AF11" s="10"/>
      <c r="AG11" s="7">
        <v>5</v>
      </c>
      <c r="AH11" s="7">
        <v>40</v>
      </c>
      <c r="AI11" s="14">
        <f>TIME(0,AG11,AH11)</f>
        <v>3.9351851851851857E-3</v>
      </c>
      <c r="AJ11" s="7">
        <v>90</v>
      </c>
      <c r="AK11" s="7">
        <f>AJ$2-AJ11</f>
        <v>0</v>
      </c>
      <c r="AL11" s="14">
        <f>AI11+TIME(0,0,AK11)</f>
        <v>3.9351851851851857E-3</v>
      </c>
      <c r="AM11" s="7">
        <f>RANK(AL11,AL$8:AL$13,1)</f>
        <v>4</v>
      </c>
      <c r="AN11" s="7">
        <f>VLOOKUP(AM11,'Место-баллы'!$A$3:$E$52,2,0)</f>
        <v>85</v>
      </c>
      <c r="AO11" s="10"/>
      <c r="AP11" s="7">
        <v>5</v>
      </c>
      <c r="AQ11" s="7">
        <v>54</v>
      </c>
      <c r="AR11" s="14">
        <f>TIME(0,AP11,AQ11)</f>
        <v>4.0972222222222226E-3</v>
      </c>
      <c r="AS11" s="7">
        <v>90</v>
      </c>
      <c r="AT11" s="7">
        <f>AS$2-AS11</f>
        <v>0</v>
      </c>
      <c r="AU11" s="14">
        <f>AR11+TIME(0,0,AT11)</f>
        <v>4.0972222222222226E-3</v>
      </c>
      <c r="AV11" s="7">
        <f>RANK(AU11,AU$8:AU$13,1)</f>
        <v>5</v>
      </c>
      <c r="AW11" s="7">
        <f>VLOOKUP(AV11,'Место-баллы'!$A$3:$E$52,2,0)</f>
        <v>80</v>
      </c>
      <c r="AX11" s="10"/>
      <c r="AY11" s="7"/>
      <c r="AZ11" s="7"/>
      <c r="BA11" s="14">
        <f>TIME(0,AY11,AZ11)</f>
        <v>0</v>
      </c>
      <c r="BB11" s="7">
        <v>7</v>
      </c>
      <c r="BC11" s="7">
        <v>52</v>
      </c>
      <c r="BD11" s="14">
        <f>TIME(0,BB11,BC11)</f>
        <v>5.4629629629629637E-3</v>
      </c>
      <c r="BE11" s="7">
        <v>6</v>
      </c>
      <c r="BF11" s="7">
        <f>BE$2-BE11</f>
        <v>0</v>
      </c>
      <c r="BG11" s="14">
        <f>BD11+TIME(0,0,BF11)</f>
        <v>5.4629629629629637E-3</v>
      </c>
      <c r="BH11" s="7">
        <f>RANK(BG11,BG$8:BG$13,1)</f>
        <v>3</v>
      </c>
      <c r="BI11" s="7">
        <f>VLOOKUP(BH11,'Место-баллы'!$A$3:$E$52,2,0)</f>
        <v>90</v>
      </c>
    </row>
    <row r="12" spans="2:61" x14ac:dyDescent="0.25">
      <c r="B12" s="7">
        <f>RANK(C12,C$8:C$13,0)</f>
        <v>5</v>
      </c>
      <c r="C12" s="7">
        <f>SUMIF($H$1:$BI$1,1,$H12:$BI12)</f>
        <v>490</v>
      </c>
      <c r="D12" s="10"/>
      <c r="E12" s="16" t="s">
        <v>50</v>
      </c>
      <c r="F12" s="13" t="s">
        <v>213</v>
      </c>
      <c r="G12" s="10"/>
      <c r="H12" s="7">
        <f>40+45+50+55</f>
        <v>190</v>
      </c>
      <c r="I12" s="7">
        <f>RANK(H12,H$8:H$13,0)</f>
        <v>6</v>
      </c>
      <c r="J12" s="7">
        <f>VLOOKUP(I12,'Место-баллы'!$A$3:$E$52,2,0)</f>
        <v>75</v>
      </c>
      <c r="K12" s="10"/>
      <c r="L12" s="7">
        <v>4</v>
      </c>
      <c r="M12" s="7">
        <v>16</v>
      </c>
      <c r="N12" s="14">
        <f>TIME(0,L12,M12)</f>
        <v>2.9629629629629628E-3</v>
      </c>
      <c r="O12" s="7">
        <v>48</v>
      </c>
      <c r="P12" s="7">
        <f>O$2-O12</f>
        <v>0</v>
      </c>
      <c r="Q12" s="14">
        <f>N12+TIME(0,0,P12)</f>
        <v>2.9629629629629628E-3</v>
      </c>
      <c r="R12" s="7">
        <f>RANK(Q12,Q$8:Q$13,1)</f>
        <v>4</v>
      </c>
      <c r="S12" s="7">
        <f>VLOOKUP(R12,'Место-баллы'!$A$3:$E$52,2,0)</f>
        <v>85</v>
      </c>
      <c r="T12" s="10"/>
      <c r="U12" s="7">
        <v>6</v>
      </c>
      <c r="V12" s="7">
        <v>36</v>
      </c>
      <c r="W12" s="14">
        <f>TIME(0,U12,V12)</f>
        <v>4.5833333333333334E-3</v>
      </c>
      <c r="X12" s="7">
        <v>8</v>
      </c>
      <c r="Y12" s="7">
        <v>5</v>
      </c>
      <c r="Z12" s="14">
        <f>TIME(0,X12,Y12)</f>
        <v>5.6134259259259271E-3</v>
      </c>
      <c r="AA12" s="7">
        <v>6</v>
      </c>
      <c r="AB12" s="7">
        <f>AA$2-AA12</f>
        <v>1</v>
      </c>
      <c r="AC12" s="14">
        <f>Z12+TIME(0,0,AB12)</f>
        <v>5.6250000000000015E-3</v>
      </c>
      <c r="AD12" s="7">
        <f>RANK(AC12,AC$8:AC$13,1)</f>
        <v>4</v>
      </c>
      <c r="AE12" s="7">
        <f>VLOOKUP(AD12,'Место-баллы'!$A$3:$E$52,2,0)</f>
        <v>85</v>
      </c>
      <c r="AF12" s="10"/>
      <c r="AG12" s="7">
        <v>5</v>
      </c>
      <c r="AH12" s="7">
        <v>42</v>
      </c>
      <c r="AI12" s="14">
        <f>TIME(0,AG12,AH12)</f>
        <v>3.9583333333333337E-3</v>
      </c>
      <c r="AJ12" s="7">
        <v>90</v>
      </c>
      <c r="AK12" s="7">
        <f>AJ$2-AJ12</f>
        <v>0</v>
      </c>
      <c r="AL12" s="14">
        <f>AI12+TIME(0,0,AK12)</f>
        <v>3.9583333333333337E-3</v>
      </c>
      <c r="AM12" s="7">
        <f>RANK(AL12,AL$8:AL$13,1)</f>
        <v>5</v>
      </c>
      <c r="AN12" s="7">
        <f>VLOOKUP(AM12,'Место-баллы'!$A$3:$E$52,2,0)</f>
        <v>80</v>
      </c>
      <c r="AO12" s="10"/>
      <c r="AP12" s="7">
        <v>5</v>
      </c>
      <c r="AQ12" s="7">
        <v>29</v>
      </c>
      <c r="AR12" s="14">
        <f>TIME(0,AP12,AQ12)</f>
        <v>3.8078703703703707E-3</v>
      </c>
      <c r="AS12" s="7">
        <v>90</v>
      </c>
      <c r="AT12" s="7">
        <f>AS$2-AS12</f>
        <v>0</v>
      </c>
      <c r="AU12" s="14">
        <f>AR12+TIME(0,0,AT12)</f>
        <v>3.8078703703703707E-3</v>
      </c>
      <c r="AV12" s="7">
        <f>RANK(AU12,AU$8:AU$13,1)</f>
        <v>4</v>
      </c>
      <c r="AW12" s="7">
        <f>VLOOKUP(AV12,'Место-баллы'!$A$3:$E$52,2,0)</f>
        <v>85</v>
      </c>
      <c r="AX12" s="10"/>
      <c r="AY12" s="31"/>
      <c r="AZ12" s="7"/>
      <c r="BA12" s="14">
        <f>TIME(0,AY12,AZ12)</f>
        <v>0</v>
      </c>
      <c r="BB12" s="31">
        <v>8</v>
      </c>
      <c r="BC12" s="7">
        <v>23</v>
      </c>
      <c r="BD12" s="14">
        <f>TIME(0,BB12,BC12)</f>
        <v>5.8217592592592592E-3</v>
      </c>
      <c r="BE12" s="7">
        <v>6</v>
      </c>
      <c r="BF12" s="7">
        <f>BE$2-BE12</f>
        <v>0</v>
      </c>
      <c r="BG12" s="14">
        <f>BD12+TIME(0,0,BF12)</f>
        <v>5.8217592592592592E-3</v>
      </c>
      <c r="BH12" s="7">
        <f>RANK(BG12,BG$8:BG$13,1)</f>
        <v>5</v>
      </c>
      <c r="BI12" s="7">
        <f>VLOOKUP(BH12,'Место-баллы'!$A$3:$E$52,2,0)</f>
        <v>80</v>
      </c>
    </row>
    <row r="13" spans="2:61" x14ac:dyDescent="0.25">
      <c r="B13" s="7">
        <f>RANK(C13,C$8:C$13,0)</f>
        <v>6</v>
      </c>
      <c r="C13" s="7">
        <f>SUMIF($H$1:$BI$1,1,$H13:$BI13)</f>
        <v>465</v>
      </c>
      <c r="D13" s="10"/>
      <c r="E13" s="16" t="s">
        <v>49</v>
      </c>
      <c r="F13" s="13" t="s">
        <v>98</v>
      </c>
      <c r="G13" s="10"/>
      <c r="H13" s="7">
        <f>62+65+67+70+72</f>
        <v>336</v>
      </c>
      <c r="I13" s="7">
        <v>4</v>
      </c>
      <c r="J13" s="7">
        <f>VLOOKUP(I13,'Место-баллы'!$A$3:$E$52,2,0)</f>
        <v>85</v>
      </c>
      <c r="K13" s="10"/>
      <c r="L13" s="7">
        <v>5</v>
      </c>
      <c r="M13" s="7">
        <v>57</v>
      </c>
      <c r="N13" s="14">
        <f>TIME(0,L13,M13)</f>
        <v>4.1319444444444442E-3</v>
      </c>
      <c r="O13" s="7">
        <v>48</v>
      </c>
      <c r="P13" s="7">
        <f>O$2-O13</f>
        <v>0</v>
      </c>
      <c r="Q13" s="14">
        <f>N13+TIME(0,0,P13)</f>
        <v>4.1319444444444442E-3</v>
      </c>
      <c r="R13" s="7">
        <f>RANK(Q13,Q$8:Q$13,1)</f>
        <v>6</v>
      </c>
      <c r="S13" s="7">
        <f>VLOOKUP(R13,'Место-баллы'!$A$3:$E$52,2,0)</f>
        <v>75</v>
      </c>
      <c r="T13" s="10"/>
      <c r="U13" s="7">
        <v>7</v>
      </c>
      <c r="V13" s="7">
        <v>10</v>
      </c>
      <c r="W13" s="14">
        <f>TIME(0,U13,V13)</f>
        <v>4.9768518518518521E-3</v>
      </c>
      <c r="X13" s="7">
        <v>8</v>
      </c>
      <c r="Y13" s="7">
        <v>5</v>
      </c>
      <c r="Z13" s="14">
        <f>TIME(0,X13,Y13)</f>
        <v>5.6134259259259271E-3</v>
      </c>
      <c r="AA13" s="7">
        <v>6</v>
      </c>
      <c r="AB13" s="7">
        <f>AA$2-AA13</f>
        <v>1</v>
      </c>
      <c r="AC13" s="14">
        <f>Z13+TIME(0,0,AB13)</f>
        <v>5.6250000000000015E-3</v>
      </c>
      <c r="AD13" s="7">
        <v>5</v>
      </c>
      <c r="AE13" s="7">
        <f>VLOOKUP(AD13,'Место-баллы'!$A$3:$E$52,2,0)</f>
        <v>80</v>
      </c>
      <c r="AF13" s="10"/>
      <c r="AG13" s="7">
        <v>9</v>
      </c>
      <c r="AH13" s="7">
        <v>5</v>
      </c>
      <c r="AI13" s="14">
        <f>TIME(0,AG13,AH13)</f>
        <v>6.3078703703703708E-3</v>
      </c>
      <c r="AJ13" s="7">
        <v>83</v>
      </c>
      <c r="AK13" s="7">
        <f>AJ$2-AJ13</f>
        <v>7</v>
      </c>
      <c r="AL13" s="14">
        <f>AI13+TIME(0,0,AK13)</f>
        <v>6.3888888888888893E-3</v>
      </c>
      <c r="AM13" s="7">
        <f>RANK(AL13,AL$8:AL$13,1)</f>
        <v>6</v>
      </c>
      <c r="AN13" s="7">
        <f>VLOOKUP(AM13,'Место-баллы'!$A$3:$E$52,2,0)</f>
        <v>75</v>
      </c>
      <c r="AO13" s="10"/>
      <c r="AP13" s="7">
        <v>6</v>
      </c>
      <c r="AQ13" s="7">
        <v>43</v>
      </c>
      <c r="AR13" s="14">
        <f>TIME(0,AP13,AQ13)</f>
        <v>4.6643518518518518E-3</v>
      </c>
      <c r="AS13" s="7">
        <v>90</v>
      </c>
      <c r="AT13" s="7">
        <f>AS$2-AS13</f>
        <v>0</v>
      </c>
      <c r="AU13" s="14">
        <f>AR13+TIME(0,0,AT13)</f>
        <v>4.6643518518518518E-3</v>
      </c>
      <c r="AV13" s="7">
        <f>RANK(AU13,AU$8:AU$13,1)</f>
        <v>6</v>
      </c>
      <c r="AW13" s="7">
        <f>VLOOKUP(AV13,'Место-баллы'!$A$3:$E$52,2,0)</f>
        <v>75</v>
      </c>
      <c r="AX13" s="10"/>
      <c r="AY13" s="31"/>
      <c r="AZ13" s="7"/>
      <c r="BA13" s="14">
        <f>TIME(0,AY13,AZ13)</f>
        <v>0</v>
      </c>
      <c r="BB13" s="31">
        <v>9</v>
      </c>
      <c r="BC13" s="7">
        <v>0</v>
      </c>
      <c r="BD13" s="14">
        <f>TIME(0,BB13,BC13)</f>
        <v>6.2499999999999995E-3</v>
      </c>
      <c r="BE13" s="7">
        <v>6</v>
      </c>
      <c r="BF13" s="7">
        <f>BE$2-BE13</f>
        <v>0</v>
      </c>
      <c r="BG13" s="14">
        <f>BD13+TIME(0,0,BF13)</f>
        <v>6.2499999999999995E-3</v>
      </c>
      <c r="BH13" s="7">
        <f>RANK(BG13,BG$8:BG$13,1)</f>
        <v>6</v>
      </c>
      <c r="BI13" s="7">
        <f>VLOOKUP(BH13,'Место-баллы'!$A$3:$E$52,2,0)</f>
        <v>75</v>
      </c>
    </row>
  </sheetData>
  <autoFilter ref="B7:BI7" xr:uid="{504CB4FC-3260-4779-8B52-BD5F7383B7B9}">
    <sortState xmlns:xlrd2="http://schemas.microsoft.com/office/spreadsheetml/2017/richdata2" ref="B8:BI13">
      <sortCondition ref="B7"/>
    </sortState>
  </autoFilter>
  <mergeCells count="8">
    <mergeCell ref="AY5:BI6"/>
    <mergeCell ref="U5:AE6"/>
    <mergeCell ref="AP5:AW6"/>
    <mergeCell ref="B5:C6"/>
    <mergeCell ref="E5:F6"/>
    <mergeCell ref="H5:J6"/>
    <mergeCell ref="L5:S6"/>
    <mergeCell ref="AG5:AN6"/>
  </mergeCells>
  <printOptions horizontalCentered="1" verticalCentered="1"/>
  <pageMargins left="0" right="0" top="0" bottom="0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D970-D7FF-4915-BFB3-77C98A0A9973}">
  <sheetPr>
    <pageSetUpPr fitToPage="1"/>
  </sheetPr>
  <dimension ref="B1:BI36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V11" sqref="V11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1.7109375" bestFit="1" customWidth="1"/>
    <col min="6" max="6" width="22.28515625" hidden="1" customWidth="1" outlineLevel="1"/>
    <col min="7" max="7" width="1.42578125" customWidth="1" collapsed="1"/>
    <col min="8" max="8" width="7.85546875" hidden="1" customWidth="1" outlineLevel="1"/>
    <col min="9" max="9" width="7.140625" customWidth="1" collapsed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hidden="1" customWidth="1" outlineLevel="1"/>
    <col min="15" max="15" width="6.85546875" hidden="1" customWidth="1" outlineLevel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9.140625" bestFit="1" customWidth="1" collapsed="1"/>
    <col min="24" max="24" width="5.140625" hidden="1" customWidth="1" outlineLevel="1"/>
    <col min="25" max="25" width="4.28515625" hidden="1" customWidth="1" outlineLevel="1"/>
    <col min="26" max="26" width="7.140625" customWidth="1" collapsed="1"/>
    <col min="27" max="27" width="6.85546875" customWidth="1"/>
    <col min="28" max="28" width="7.85546875" hidden="1" customWidth="1" outlineLevel="1"/>
    <col min="29" max="29" width="7.140625" hidden="1" customWidth="1" outlineLevel="1"/>
    <col min="30" max="30" width="7.140625" customWidth="1" collapsed="1"/>
    <col min="31" max="31" width="6.85546875" customWidth="1"/>
    <col min="32" max="32" width="1.42578125" customWidth="1"/>
    <col min="33" max="33" width="5.140625" hidden="1" customWidth="1" outlineLevel="1"/>
    <col min="34" max="34" width="4.28515625" hidden="1" customWidth="1" outlineLevel="1"/>
    <col min="35" max="35" width="7.140625" customWidth="1" collapsed="1"/>
    <col min="36" max="36" width="6.85546875" customWidth="1"/>
    <col min="37" max="37" width="7.85546875" hidden="1" customWidth="1" outlineLevel="1"/>
    <col min="38" max="38" width="7.140625" hidden="1" customWidth="1" outlineLevel="1"/>
    <col min="39" max="39" width="7.140625" customWidth="1" collapsed="1"/>
    <col min="40" max="40" width="6.85546875" customWidth="1"/>
    <col min="41" max="41" width="1.42578125" customWidth="1"/>
    <col min="42" max="42" width="5.140625" hidden="1" customWidth="1" outlineLevel="1"/>
    <col min="43" max="43" width="4.28515625" hidden="1" customWidth="1" outlineLevel="1"/>
    <col min="44" max="44" width="7.140625" customWidth="1" collapsed="1"/>
    <col min="45" max="45" width="6.85546875" customWidth="1"/>
    <col min="46" max="46" width="7.85546875" hidden="1" customWidth="1" outlineLevel="1"/>
    <col min="47" max="47" width="7.140625" hidden="1" customWidth="1" outlineLevel="1"/>
    <col min="48" max="48" width="7.140625" customWidth="1" collapsed="1"/>
    <col min="49" max="49" width="6.85546875" customWidth="1"/>
    <col min="50" max="50" width="1.42578125" customWidth="1"/>
    <col min="51" max="51" width="5.140625" hidden="1" customWidth="1" outlineLevel="1"/>
    <col min="52" max="52" width="4.28515625" hidden="1" customWidth="1" outlineLevel="1"/>
    <col min="53" max="53" width="9.42578125" customWidth="1" collapsed="1"/>
    <col min="54" max="54" width="5.140625" hidden="1" customWidth="1" outlineLevel="1"/>
    <col min="55" max="55" width="4.28515625" hidden="1" customWidth="1" outlineLevel="1"/>
    <col min="56" max="56" width="7.140625" customWidth="1" collapsed="1"/>
    <col min="57" max="57" width="6.85546875" customWidth="1"/>
    <col min="58" max="58" width="7.85546875" hidden="1" customWidth="1" outlineLevel="1"/>
    <col min="59" max="59" width="7.140625" hidden="1" customWidth="1" outlineLevel="1"/>
    <col min="60" max="60" width="7.140625" customWidth="1" collapsed="1"/>
    <col min="61" max="61" width="6.85546875" customWidth="1"/>
  </cols>
  <sheetData>
    <row r="1" spans="2:61" x14ac:dyDescent="0.25">
      <c r="E1" s="12"/>
      <c r="F1" s="12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X1" s="3"/>
      <c r="Y1" s="3"/>
      <c r="Z1" s="3"/>
      <c r="AA1" s="3"/>
      <c r="AB1" s="3"/>
      <c r="AC1" s="3"/>
      <c r="AD1" s="3"/>
      <c r="AE1" s="43">
        <v>1</v>
      </c>
      <c r="AG1" s="3"/>
      <c r="AH1" s="3"/>
      <c r="AI1" s="3"/>
      <c r="AJ1" s="3"/>
      <c r="AK1" s="3"/>
      <c r="AL1" s="3"/>
      <c r="AM1" s="3"/>
      <c r="AN1" s="4">
        <v>1</v>
      </c>
      <c r="AP1" s="3"/>
      <c r="AQ1" s="3"/>
      <c r="AR1" s="3"/>
      <c r="AS1" s="3"/>
      <c r="AT1" s="3"/>
      <c r="AU1" s="3"/>
      <c r="AV1" s="3"/>
      <c r="AW1" s="4">
        <v>1</v>
      </c>
      <c r="BB1" s="3"/>
      <c r="BC1" s="3"/>
      <c r="BD1" s="3"/>
      <c r="BE1" s="3"/>
      <c r="BF1" s="3"/>
      <c r="BG1" s="3"/>
      <c r="BH1" s="3"/>
      <c r="BI1" s="4">
        <v>1</v>
      </c>
    </row>
    <row r="2" spans="2:61" x14ac:dyDescent="0.25">
      <c r="E2" s="12"/>
      <c r="F2" s="12"/>
      <c r="H2" s="3"/>
      <c r="I2" s="3"/>
      <c r="J2" s="3"/>
      <c r="L2" s="3"/>
      <c r="M2" s="3"/>
      <c r="N2" s="3"/>
      <c r="O2" s="5">
        <v>48</v>
      </c>
      <c r="P2" s="3"/>
      <c r="Q2" s="3"/>
      <c r="R2" s="3"/>
      <c r="S2" s="3"/>
      <c r="X2" s="3"/>
      <c r="Y2" s="3"/>
      <c r="Z2" s="3"/>
      <c r="AA2" s="44">
        <v>7</v>
      </c>
      <c r="AB2" s="3"/>
      <c r="AC2" s="3"/>
      <c r="AD2" s="3"/>
      <c r="AE2" s="3"/>
      <c r="AG2" s="3"/>
      <c r="AH2" s="3"/>
      <c r="AI2" s="3"/>
      <c r="AJ2" s="5">
        <v>90</v>
      </c>
      <c r="AK2" s="3"/>
      <c r="AL2" s="3"/>
      <c r="AM2" s="3"/>
      <c r="AN2" s="3"/>
      <c r="AP2" s="3"/>
      <c r="AQ2" s="3"/>
      <c r="AR2" s="3"/>
      <c r="AS2" s="5">
        <v>120</v>
      </c>
      <c r="AT2" s="3"/>
      <c r="AU2" s="3"/>
      <c r="AV2" s="3"/>
      <c r="AW2" s="3"/>
      <c r="BB2" s="3"/>
      <c r="BC2" s="3"/>
      <c r="BD2" s="3"/>
      <c r="BE2" s="5">
        <v>6</v>
      </c>
      <c r="BF2" s="3"/>
      <c r="BG2" s="3"/>
      <c r="BH2" s="3"/>
      <c r="BI2" s="3"/>
    </row>
    <row r="3" spans="2:61" x14ac:dyDescent="0.25">
      <c r="E3" s="12"/>
      <c r="F3" s="12"/>
      <c r="H3" s="6"/>
      <c r="I3" s="3"/>
      <c r="J3" s="3"/>
      <c r="L3" s="3"/>
      <c r="M3" s="3"/>
      <c r="N3" s="3"/>
      <c r="O3" s="6" t="s">
        <v>28</v>
      </c>
      <c r="P3" s="3"/>
      <c r="Q3" s="3"/>
      <c r="R3" s="3"/>
      <c r="S3" s="3"/>
      <c r="X3" s="3"/>
      <c r="Y3" s="3"/>
      <c r="Z3" s="3"/>
      <c r="AA3" s="6" t="s">
        <v>47</v>
      </c>
      <c r="AB3" s="3"/>
      <c r="AC3" s="3"/>
      <c r="AD3" s="3"/>
      <c r="AE3" s="3"/>
      <c r="AG3" s="3"/>
      <c r="AH3" s="3"/>
      <c r="AI3" s="3"/>
      <c r="AJ3" s="6" t="s">
        <v>20</v>
      </c>
      <c r="AK3" s="3"/>
      <c r="AL3" s="3"/>
      <c r="AM3" s="3"/>
      <c r="AN3" s="3"/>
      <c r="AP3" s="3"/>
      <c r="AQ3" s="3"/>
      <c r="AR3" s="3"/>
      <c r="AS3" s="6" t="s">
        <v>32</v>
      </c>
      <c r="AT3" s="3"/>
      <c r="AU3" s="3"/>
      <c r="AV3" s="3"/>
      <c r="AW3" s="3"/>
      <c r="BB3" s="3"/>
      <c r="BC3" s="3"/>
      <c r="BD3" s="3"/>
      <c r="BE3" s="6" t="s">
        <v>20</v>
      </c>
      <c r="BF3" s="3"/>
      <c r="BG3" s="3"/>
      <c r="BH3" s="3"/>
      <c r="BI3" s="3"/>
    </row>
    <row r="4" spans="2:61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X4" s="3"/>
      <c r="Y4" s="3"/>
      <c r="Z4" s="3"/>
      <c r="AA4" s="3"/>
      <c r="AB4" s="3"/>
      <c r="AC4" s="3"/>
      <c r="AD4" s="3"/>
      <c r="AE4" s="3"/>
      <c r="AG4" s="3"/>
      <c r="AH4" s="3"/>
      <c r="AI4" s="3"/>
      <c r="AJ4" s="3"/>
      <c r="AK4" s="3"/>
      <c r="AL4" s="3"/>
      <c r="AM4" s="3"/>
      <c r="AN4" s="3"/>
      <c r="AP4" s="3"/>
      <c r="AQ4" s="3"/>
      <c r="AR4" s="3"/>
      <c r="AS4" s="3"/>
      <c r="AT4" s="3"/>
      <c r="AU4" s="3"/>
      <c r="AV4" s="3"/>
      <c r="AW4" s="3"/>
      <c r="BB4" s="3"/>
      <c r="BC4" s="3"/>
      <c r="BD4" s="3"/>
      <c r="BE4" s="3"/>
      <c r="BF4" s="3"/>
      <c r="BG4" s="3"/>
      <c r="BH4" s="3"/>
      <c r="BI4" s="3"/>
    </row>
    <row r="5" spans="2:61" ht="15" customHeight="1" x14ac:dyDescent="0.25">
      <c r="B5" s="23" t="s">
        <v>4</v>
      </c>
      <c r="C5" s="24"/>
      <c r="D5" s="7"/>
      <c r="E5" s="25" t="s">
        <v>26</v>
      </c>
      <c r="F5" s="26"/>
      <c r="G5" s="7"/>
      <c r="H5" s="23" t="s">
        <v>18</v>
      </c>
      <c r="I5" s="24"/>
      <c r="J5" s="24"/>
      <c r="K5" s="7"/>
      <c r="L5" s="23" t="s">
        <v>5</v>
      </c>
      <c r="M5" s="24"/>
      <c r="N5" s="24"/>
      <c r="O5" s="24"/>
      <c r="P5" s="24"/>
      <c r="Q5" s="24"/>
      <c r="R5" s="24"/>
      <c r="S5" s="24"/>
      <c r="T5" s="7"/>
      <c r="U5" s="25" t="s">
        <v>6</v>
      </c>
      <c r="V5" s="29"/>
      <c r="W5" s="29"/>
      <c r="X5" s="29"/>
      <c r="Y5" s="29"/>
      <c r="Z5" s="29"/>
      <c r="AA5" s="29"/>
      <c r="AB5" s="29"/>
      <c r="AC5" s="29"/>
      <c r="AD5" s="29"/>
      <c r="AE5" s="26"/>
      <c r="AF5" s="7"/>
      <c r="AG5" s="23" t="s">
        <v>7</v>
      </c>
      <c r="AH5" s="24"/>
      <c r="AI5" s="24"/>
      <c r="AJ5" s="24"/>
      <c r="AK5" s="24"/>
      <c r="AL5" s="24"/>
      <c r="AM5" s="24"/>
      <c r="AN5" s="24"/>
      <c r="AO5" s="7"/>
      <c r="AP5" s="23" t="s">
        <v>25</v>
      </c>
      <c r="AQ5" s="24"/>
      <c r="AR5" s="24"/>
      <c r="AS5" s="24"/>
      <c r="AT5" s="24"/>
      <c r="AU5" s="24"/>
      <c r="AV5" s="24"/>
      <c r="AW5" s="24"/>
      <c r="AX5" s="7"/>
      <c r="AY5" s="25" t="s">
        <v>33</v>
      </c>
      <c r="AZ5" s="29"/>
      <c r="BA5" s="29"/>
      <c r="BB5" s="29"/>
      <c r="BC5" s="29"/>
      <c r="BD5" s="29"/>
      <c r="BE5" s="29"/>
      <c r="BF5" s="29"/>
      <c r="BG5" s="29"/>
      <c r="BH5" s="29"/>
      <c r="BI5" s="26"/>
    </row>
    <row r="6" spans="2:61" x14ac:dyDescent="0.25">
      <c r="B6" s="24"/>
      <c r="C6" s="24"/>
      <c r="D6" s="8"/>
      <c r="E6" s="27"/>
      <c r="F6" s="28"/>
      <c r="G6" s="8"/>
      <c r="H6" s="24"/>
      <c r="I6" s="24"/>
      <c r="J6" s="24"/>
      <c r="K6" s="8"/>
      <c r="L6" s="24"/>
      <c r="M6" s="24"/>
      <c r="N6" s="24"/>
      <c r="O6" s="24"/>
      <c r="P6" s="24"/>
      <c r="Q6" s="24"/>
      <c r="R6" s="24"/>
      <c r="S6" s="24"/>
      <c r="T6" s="8"/>
      <c r="U6" s="27"/>
      <c r="V6" s="30"/>
      <c r="W6" s="30"/>
      <c r="X6" s="30"/>
      <c r="Y6" s="30"/>
      <c r="Z6" s="30"/>
      <c r="AA6" s="30"/>
      <c r="AB6" s="30"/>
      <c r="AC6" s="30"/>
      <c r="AD6" s="30"/>
      <c r="AE6" s="28"/>
      <c r="AF6" s="8"/>
      <c r="AG6" s="24"/>
      <c r="AH6" s="24"/>
      <c r="AI6" s="24"/>
      <c r="AJ6" s="24"/>
      <c r="AK6" s="24"/>
      <c r="AL6" s="24"/>
      <c r="AM6" s="24"/>
      <c r="AN6" s="24"/>
      <c r="AO6" s="8"/>
      <c r="AP6" s="24"/>
      <c r="AQ6" s="24"/>
      <c r="AR6" s="24"/>
      <c r="AS6" s="24"/>
      <c r="AT6" s="24"/>
      <c r="AU6" s="24"/>
      <c r="AV6" s="24"/>
      <c r="AW6" s="24"/>
      <c r="AX6" s="8"/>
      <c r="AY6" s="27"/>
      <c r="AZ6" s="30"/>
      <c r="BA6" s="30"/>
      <c r="BB6" s="30"/>
      <c r="BC6" s="30"/>
      <c r="BD6" s="30"/>
      <c r="BE6" s="30"/>
      <c r="BF6" s="30"/>
      <c r="BG6" s="30"/>
      <c r="BH6" s="30"/>
      <c r="BI6" s="28"/>
    </row>
    <row r="7" spans="2:61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1" t="s">
        <v>31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27</v>
      </c>
      <c r="X7" s="11" t="s">
        <v>11</v>
      </c>
      <c r="Y7" s="11" t="s">
        <v>12</v>
      </c>
      <c r="Z7" s="11" t="s">
        <v>13</v>
      </c>
      <c r="AA7" s="18" t="s">
        <v>16</v>
      </c>
      <c r="AB7" s="11" t="s">
        <v>17</v>
      </c>
      <c r="AC7" s="11" t="s">
        <v>13</v>
      </c>
      <c r="AD7" s="11" t="s">
        <v>14</v>
      </c>
      <c r="AE7" s="11" t="s">
        <v>15</v>
      </c>
      <c r="AF7" s="9"/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  <c r="AO7" s="9"/>
      <c r="AP7" s="11" t="s">
        <v>11</v>
      </c>
      <c r="AQ7" s="11" t="s">
        <v>12</v>
      </c>
      <c r="AR7" s="11" t="s">
        <v>13</v>
      </c>
      <c r="AS7" s="18" t="s">
        <v>16</v>
      </c>
      <c r="AT7" s="11" t="s">
        <v>17</v>
      </c>
      <c r="AU7" s="11" t="s">
        <v>13</v>
      </c>
      <c r="AV7" s="11" t="s">
        <v>14</v>
      </c>
      <c r="AW7" s="11" t="s">
        <v>15</v>
      </c>
      <c r="AX7" s="9"/>
      <c r="AY7" s="11" t="s">
        <v>11</v>
      </c>
      <c r="AZ7" s="11" t="s">
        <v>12</v>
      </c>
      <c r="BA7" s="11" t="s">
        <v>27</v>
      </c>
      <c r="BB7" s="11" t="s">
        <v>11</v>
      </c>
      <c r="BC7" s="11" t="s">
        <v>12</v>
      </c>
      <c r="BD7" s="11" t="s">
        <v>13</v>
      </c>
      <c r="BE7" s="18" t="s">
        <v>16</v>
      </c>
      <c r="BF7" s="11" t="s">
        <v>17</v>
      </c>
      <c r="BG7" s="11" t="s">
        <v>13</v>
      </c>
      <c r="BH7" s="11" t="s">
        <v>14</v>
      </c>
      <c r="BI7" s="11" t="s">
        <v>15</v>
      </c>
    </row>
    <row r="8" spans="2:61" x14ac:dyDescent="0.25">
      <c r="B8" s="7">
        <f>RANK(C8,C$8:C$29,0)</f>
        <v>1</v>
      </c>
      <c r="C8" s="7">
        <f>SUMIF($H$1:$BI$1,1,$H8:$BI8)</f>
        <v>548</v>
      </c>
      <c r="D8" s="10"/>
      <c r="E8" s="16" t="s">
        <v>222</v>
      </c>
      <c r="F8" s="13" t="s">
        <v>98</v>
      </c>
      <c r="G8" s="10"/>
      <c r="H8" s="7">
        <f>105+110+115+120+125</f>
        <v>575</v>
      </c>
      <c r="I8" s="7">
        <f>RANK(H8,H$8:H$29,0)</f>
        <v>1</v>
      </c>
      <c r="J8" s="7">
        <f>VLOOKUP(I8,'Место-баллы'!$A$3:$E$52,2,0)</f>
        <v>100</v>
      </c>
      <c r="K8" s="10"/>
      <c r="L8" s="7">
        <v>3</v>
      </c>
      <c r="M8" s="7">
        <v>2</v>
      </c>
      <c r="N8" s="14">
        <f>TIME(0,L8,M8)</f>
        <v>2.1064814814814813E-3</v>
      </c>
      <c r="O8" s="7">
        <v>48</v>
      </c>
      <c r="P8" s="7">
        <f>O$2-O8</f>
        <v>0</v>
      </c>
      <c r="Q8" s="14">
        <f>N8+TIME(0,0,P8)</f>
        <v>2.1064814814814813E-3</v>
      </c>
      <c r="R8" s="7">
        <f>RANK(Q8,Q$8:Q$29,1)</f>
        <v>1</v>
      </c>
      <c r="S8" s="7">
        <f>VLOOKUP(R8,'Место-баллы'!$A$3:$E$52,2,0)</f>
        <v>100</v>
      </c>
      <c r="T8" s="10"/>
      <c r="U8" s="7"/>
      <c r="V8" s="7"/>
      <c r="W8" s="14"/>
      <c r="X8" s="7">
        <v>6</v>
      </c>
      <c r="Y8" s="7">
        <v>41</v>
      </c>
      <c r="Z8" s="14">
        <f>TIME(0,X8,Y8)</f>
        <v>4.6412037037037038E-3</v>
      </c>
      <c r="AA8" s="7">
        <v>7</v>
      </c>
      <c r="AB8" s="7">
        <f>AA$2-AA8</f>
        <v>0</v>
      </c>
      <c r="AC8" s="14">
        <f>Z8+TIME(0,0,AB8)</f>
        <v>4.6412037037037038E-3</v>
      </c>
      <c r="AD8" s="7">
        <f>RANK(AC8,AC$8:AC$29,1)</f>
        <v>5</v>
      </c>
      <c r="AE8" s="7">
        <f>VLOOKUP(AD8,'Место-баллы'!$A$3:$E$52,2,0)</f>
        <v>80</v>
      </c>
      <c r="AF8" s="10"/>
      <c r="AG8" s="7">
        <v>2</v>
      </c>
      <c r="AH8" s="7">
        <v>32</v>
      </c>
      <c r="AI8" s="14">
        <f>TIME(0,AG8,AH8)</f>
        <v>1.7592592592592592E-3</v>
      </c>
      <c r="AJ8" s="7">
        <v>90</v>
      </c>
      <c r="AK8" s="7">
        <f>AJ$2-AJ8</f>
        <v>0</v>
      </c>
      <c r="AL8" s="14">
        <f>AI8+TIME(0,0,AK8)</f>
        <v>1.7592592592592592E-3</v>
      </c>
      <c r="AM8" s="7">
        <f>RANK(AL8,AL$8:AL$29,1)</f>
        <v>1</v>
      </c>
      <c r="AN8" s="7">
        <f>VLOOKUP(AM8,'Место-баллы'!$A$3:$E$52,2,0)</f>
        <v>100</v>
      </c>
      <c r="AO8" s="10"/>
      <c r="AP8" s="7">
        <v>4</v>
      </c>
      <c r="AQ8" s="7">
        <v>8</v>
      </c>
      <c r="AR8" s="14">
        <f>TIME(0,AP8,AQ8)</f>
        <v>2.8703703703703708E-3</v>
      </c>
      <c r="AS8" s="7">
        <v>120</v>
      </c>
      <c r="AT8" s="7">
        <f>AS$2-AS8</f>
        <v>0</v>
      </c>
      <c r="AU8" s="14">
        <f>AR8+TIME(0,0,AT8)</f>
        <v>2.8703703703703708E-3</v>
      </c>
      <c r="AV8" s="7">
        <f>RANK(AU8,AU$8:AU$29,1)</f>
        <v>2</v>
      </c>
      <c r="AW8" s="7">
        <f>VLOOKUP(AV8,'Место-баллы'!$A$3:$E$52,2,0)</f>
        <v>95</v>
      </c>
      <c r="AX8" s="10"/>
      <c r="AY8" s="7">
        <v>5</v>
      </c>
      <c r="AZ8" s="7">
        <v>13</v>
      </c>
      <c r="BA8" s="14"/>
      <c r="BB8" s="7">
        <v>8</v>
      </c>
      <c r="BC8" s="7">
        <v>7</v>
      </c>
      <c r="BD8" s="14">
        <f>TIME(0,BB8,BC8)</f>
        <v>5.6365740740740742E-3</v>
      </c>
      <c r="BE8" s="7">
        <v>6</v>
      </c>
      <c r="BF8" s="7">
        <f>BE$2-BE8</f>
        <v>0</v>
      </c>
      <c r="BG8" s="14">
        <f>BD8+TIME(0,0,BF8)</f>
        <v>5.6365740740740742E-3</v>
      </c>
      <c r="BH8" s="7">
        <f>RANK(BG8,BG$8:BG$29,1)</f>
        <v>7</v>
      </c>
      <c r="BI8" s="7">
        <f>VLOOKUP(BH8,'Место-баллы'!$A$3:$E$52,2,0)</f>
        <v>73</v>
      </c>
    </row>
    <row r="9" spans="2:61" x14ac:dyDescent="0.25">
      <c r="B9" s="7">
        <f>RANK(C9,C$8:C$29,0)</f>
        <v>2</v>
      </c>
      <c r="C9" s="7">
        <f>SUMIF($H$1:$BI$1,1,$H9:$BI9)</f>
        <v>535</v>
      </c>
      <c r="D9" s="10"/>
      <c r="E9" s="16" t="s">
        <v>231</v>
      </c>
      <c r="F9" s="13"/>
      <c r="G9" s="10"/>
      <c r="H9" s="7">
        <f>100+105+110+115+120</f>
        <v>550</v>
      </c>
      <c r="I9" s="7">
        <v>4</v>
      </c>
      <c r="J9" s="7">
        <f>VLOOKUP(I9,'Место-баллы'!$A$3:$E$52,2,0)</f>
        <v>85</v>
      </c>
      <c r="K9" s="10"/>
      <c r="L9" s="7">
        <v>4</v>
      </c>
      <c r="M9" s="7">
        <v>5</v>
      </c>
      <c r="N9" s="14">
        <f>TIME(0,L9,M9)</f>
        <v>2.8356481481481479E-3</v>
      </c>
      <c r="O9" s="7">
        <v>48</v>
      </c>
      <c r="P9" s="7">
        <f>O$2-O9</f>
        <v>0</v>
      </c>
      <c r="Q9" s="14">
        <f>N9+TIME(0,0,P9)</f>
        <v>2.8356481481481479E-3</v>
      </c>
      <c r="R9" s="7">
        <f>RANK(Q9,Q$8:Q$29,1)</f>
        <v>11</v>
      </c>
      <c r="S9" s="7">
        <f>VLOOKUP(R9,'Место-баллы'!$A$3:$E$52,2,0)</f>
        <v>65</v>
      </c>
      <c r="T9" s="10"/>
      <c r="U9" s="7"/>
      <c r="V9" s="7"/>
      <c r="W9" s="14"/>
      <c r="X9" s="7">
        <v>6</v>
      </c>
      <c r="Y9" s="7">
        <v>29</v>
      </c>
      <c r="Z9" s="14">
        <f>TIME(0,X9,Y9)</f>
        <v>4.5023148148148149E-3</v>
      </c>
      <c r="AA9" s="7">
        <v>7</v>
      </c>
      <c r="AB9" s="7">
        <f>AA$2-AA9</f>
        <v>0</v>
      </c>
      <c r="AC9" s="14">
        <f>Z9+TIME(0,0,AB9)</f>
        <v>4.5023148148148149E-3</v>
      </c>
      <c r="AD9" s="7">
        <f>RANK(AC9,AC$8:AC$29,1)</f>
        <v>3</v>
      </c>
      <c r="AE9" s="7">
        <f>VLOOKUP(AD9,'Место-баллы'!$A$3:$E$52,2,0)</f>
        <v>90</v>
      </c>
      <c r="AF9" s="10"/>
      <c r="AG9" s="7">
        <v>2</v>
      </c>
      <c r="AH9" s="7">
        <v>36</v>
      </c>
      <c r="AI9" s="14">
        <f>TIME(0,AG9,AH9)</f>
        <v>1.8055555555555557E-3</v>
      </c>
      <c r="AJ9" s="7">
        <v>90</v>
      </c>
      <c r="AK9" s="7">
        <f>AJ$2-AJ9</f>
        <v>0</v>
      </c>
      <c r="AL9" s="14">
        <f>AI9+TIME(0,0,AK9)</f>
        <v>1.8055555555555557E-3</v>
      </c>
      <c r="AM9" s="7">
        <f>RANK(AL9,AL$8:AL$29,1)</f>
        <v>2</v>
      </c>
      <c r="AN9" s="7">
        <f>VLOOKUP(AM9,'Место-баллы'!$A$3:$E$52,2,0)</f>
        <v>95</v>
      </c>
      <c r="AO9" s="10"/>
      <c r="AP9" s="7">
        <v>3</v>
      </c>
      <c r="AQ9" s="7">
        <v>58</v>
      </c>
      <c r="AR9" s="14">
        <f>TIME(0,AP9,AQ9)</f>
        <v>2.7546296296296294E-3</v>
      </c>
      <c r="AS9" s="7">
        <v>120</v>
      </c>
      <c r="AT9" s="7">
        <f>AS$2-AS9</f>
        <v>0</v>
      </c>
      <c r="AU9" s="14">
        <f>AR9+TIME(0,0,AT9)</f>
        <v>2.7546296296296294E-3</v>
      </c>
      <c r="AV9" s="7">
        <f>RANK(AU9,AU$8:AU$29,1)</f>
        <v>1</v>
      </c>
      <c r="AW9" s="7">
        <f>VLOOKUP(AV9,'Место-баллы'!$A$3:$E$52,2,0)</f>
        <v>100</v>
      </c>
      <c r="AX9" s="10"/>
      <c r="AY9" s="7">
        <v>4</v>
      </c>
      <c r="AZ9" s="7">
        <v>45</v>
      </c>
      <c r="BA9" s="14"/>
      <c r="BB9" s="7">
        <v>7</v>
      </c>
      <c r="BC9" s="7">
        <v>27</v>
      </c>
      <c r="BD9" s="14">
        <f>TIME(0,BB9,BC9)</f>
        <v>5.1736111111111115E-3</v>
      </c>
      <c r="BE9" s="7">
        <v>6</v>
      </c>
      <c r="BF9" s="7">
        <f>BE$2-BE9</f>
        <v>0</v>
      </c>
      <c r="BG9" s="14">
        <f>BD9+TIME(0,0,BF9)</f>
        <v>5.1736111111111115E-3</v>
      </c>
      <c r="BH9" s="7">
        <f>RANK(BG9,BG$8:BG$29,1)</f>
        <v>1</v>
      </c>
      <c r="BI9" s="7">
        <f>VLOOKUP(BH9,'Место-баллы'!$A$3:$E$52,2,0)</f>
        <v>100</v>
      </c>
    </row>
    <row r="10" spans="2:61" x14ac:dyDescent="0.25">
      <c r="B10" s="7">
        <f>RANK(C10,C$8:C$29,0)</f>
        <v>3</v>
      </c>
      <c r="C10" s="7">
        <f>SUMIF($H$1:$BI$1,1,$H10:$BI10)</f>
        <v>530</v>
      </c>
      <c r="D10" s="10"/>
      <c r="E10" s="16" t="s">
        <v>64</v>
      </c>
      <c r="F10" s="13"/>
      <c r="G10" s="10"/>
      <c r="H10" s="7">
        <f>90+95+100+105+110</f>
        <v>500</v>
      </c>
      <c r="I10" s="7">
        <f>RANK(H10,H$8:H$29,0)</f>
        <v>6</v>
      </c>
      <c r="J10" s="7">
        <f>VLOOKUP(I10,'Место-баллы'!$A$3:$E$52,2,0)</f>
        <v>75</v>
      </c>
      <c r="K10" s="10"/>
      <c r="L10" s="7">
        <v>3</v>
      </c>
      <c r="M10" s="7">
        <v>7</v>
      </c>
      <c r="N10" s="14">
        <f>TIME(0,L10,M10)</f>
        <v>2.1643518518518518E-3</v>
      </c>
      <c r="O10" s="7">
        <v>48</v>
      </c>
      <c r="P10" s="7">
        <f>O$2-O10</f>
        <v>0</v>
      </c>
      <c r="Q10" s="14">
        <f>N10+TIME(0,0,P10)</f>
        <v>2.1643518518518518E-3</v>
      </c>
      <c r="R10" s="7">
        <f>RANK(Q10,Q$8:Q$29,1)</f>
        <v>3</v>
      </c>
      <c r="S10" s="7">
        <f>VLOOKUP(R10,'Место-баллы'!$A$3:$E$52,2,0)</f>
        <v>90</v>
      </c>
      <c r="T10" s="10"/>
      <c r="U10" s="7"/>
      <c r="V10" s="7"/>
      <c r="W10" s="14"/>
      <c r="X10" s="7">
        <v>6</v>
      </c>
      <c r="Y10" s="7">
        <v>28</v>
      </c>
      <c r="Z10" s="14">
        <f>TIME(0,X10,Y10)</f>
        <v>4.4907407407407405E-3</v>
      </c>
      <c r="AA10" s="7">
        <v>7</v>
      </c>
      <c r="AB10" s="7">
        <f>AA$2-AA10</f>
        <v>0</v>
      </c>
      <c r="AC10" s="14">
        <f>Z10+TIME(0,0,AB10)</f>
        <v>4.4907407407407405E-3</v>
      </c>
      <c r="AD10" s="7">
        <f>RANK(AC10,AC$8:AC$29,1)</f>
        <v>2</v>
      </c>
      <c r="AE10" s="7">
        <f>VLOOKUP(AD10,'Место-баллы'!$A$3:$E$52,2,0)</f>
        <v>95</v>
      </c>
      <c r="AF10" s="10"/>
      <c r="AG10" s="7">
        <v>2</v>
      </c>
      <c r="AH10" s="7">
        <v>46</v>
      </c>
      <c r="AI10" s="14">
        <f>TIME(0,AG10,AH10)</f>
        <v>1.9212962962962962E-3</v>
      </c>
      <c r="AJ10" s="7">
        <v>90</v>
      </c>
      <c r="AK10" s="7">
        <f>AJ$2-AJ10</f>
        <v>0</v>
      </c>
      <c r="AL10" s="14">
        <f>AI10+TIME(0,0,AK10)</f>
        <v>1.9212962962962962E-3</v>
      </c>
      <c r="AM10" s="7">
        <f>RANK(AL10,AL$8:AL$29,1)</f>
        <v>3</v>
      </c>
      <c r="AN10" s="7">
        <f>VLOOKUP(AM10,'Место-баллы'!$A$3:$E$52,2,0)</f>
        <v>90</v>
      </c>
      <c r="AO10" s="10"/>
      <c r="AP10" s="7">
        <v>4</v>
      </c>
      <c r="AQ10" s="7">
        <v>23</v>
      </c>
      <c r="AR10" s="14">
        <f>TIME(0,AP10,AQ10)</f>
        <v>3.0439814814814821E-3</v>
      </c>
      <c r="AS10" s="7">
        <v>120</v>
      </c>
      <c r="AT10" s="7">
        <f>AS$2-AS10</f>
        <v>0</v>
      </c>
      <c r="AU10" s="14">
        <f>AR10+TIME(0,0,AT10)</f>
        <v>3.0439814814814821E-3</v>
      </c>
      <c r="AV10" s="7">
        <f>RANK(AU10,AU$8:AU$29,1)</f>
        <v>3</v>
      </c>
      <c r="AW10" s="7">
        <f>VLOOKUP(AV10,'Место-баллы'!$A$3:$E$52,2,0)</f>
        <v>90</v>
      </c>
      <c r="AX10" s="10"/>
      <c r="AY10" s="7">
        <v>4</v>
      </c>
      <c r="AZ10" s="7">
        <v>51</v>
      </c>
      <c r="BA10" s="14"/>
      <c r="BB10" s="7">
        <v>7</v>
      </c>
      <c r="BC10" s="7">
        <v>33</v>
      </c>
      <c r="BD10" s="14">
        <f>TIME(0,BB10,BC10)</f>
        <v>5.2430555555555555E-3</v>
      </c>
      <c r="BE10" s="7">
        <v>6</v>
      </c>
      <c r="BF10" s="7">
        <f>BE$2-BE10</f>
        <v>0</v>
      </c>
      <c r="BG10" s="14">
        <f>BD10+TIME(0,0,BF10)</f>
        <v>5.2430555555555555E-3</v>
      </c>
      <c r="BH10" s="7">
        <f>RANK(BG10,BG$8:BG$29,1)</f>
        <v>3</v>
      </c>
      <c r="BI10" s="7">
        <f>VLOOKUP(BH10,'Место-баллы'!$A$3:$E$52,2,0)</f>
        <v>90</v>
      </c>
    </row>
    <row r="11" spans="2:61" x14ac:dyDescent="0.25">
      <c r="B11" s="7">
        <f>RANK(C11,C$8:C$29,0)</f>
        <v>4</v>
      </c>
      <c r="C11" s="7">
        <f>SUMIF($H$1:$BI$1,1,$H11:$BI11)</f>
        <v>515</v>
      </c>
      <c r="D11" s="10"/>
      <c r="E11" s="16" t="s">
        <v>59</v>
      </c>
      <c r="F11" s="13" t="s">
        <v>214</v>
      </c>
      <c r="G11" s="10"/>
      <c r="H11" s="7">
        <f>100+105+110+115+120</f>
        <v>550</v>
      </c>
      <c r="I11" s="7">
        <f>RANK(H11,H$8:H$29,0)</f>
        <v>3</v>
      </c>
      <c r="J11" s="7">
        <f>VLOOKUP(I11,'Место-баллы'!$A$3:$E$52,2,0)</f>
        <v>90</v>
      </c>
      <c r="K11" s="10"/>
      <c r="L11" s="7">
        <v>3</v>
      </c>
      <c r="M11" s="7">
        <v>4</v>
      </c>
      <c r="N11" s="14">
        <f>TIME(0,L11,M11)</f>
        <v>2.1296296296296298E-3</v>
      </c>
      <c r="O11" s="7">
        <v>48</v>
      </c>
      <c r="P11" s="7">
        <f>O$2-O11</f>
        <v>0</v>
      </c>
      <c r="Q11" s="14">
        <f>N11+TIME(0,0,P11)</f>
        <v>2.1296296296296298E-3</v>
      </c>
      <c r="R11" s="7">
        <f>RANK(Q11,Q$8:Q$29,1)</f>
        <v>2</v>
      </c>
      <c r="S11" s="7">
        <f>VLOOKUP(R11,'Место-баллы'!$A$3:$E$52,2,0)</f>
        <v>95</v>
      </c>
      <c r="T11" s="10"/>
      <c r="U11" s="7"/>
      <c r="V11" s="7"/>
      <c r="W11" s="14"/>
      <c r="X11" s="7">
        <v>6</v>
      </c>
      <c r="Y11" s="7">
        <v>30</v>
      </c>
      <c r="Z11" s="14">
        <f>TIME(0,X11,Y11)</f>
        <v>4.5138888888888893E-3</v>
      </c>
      <c r="AA11" s="7">
        <v>7</v>
      </c>
      <c r="AB11" s="7">
        <f>AA$2-AA11</f>
        <v>0</v>
      </c>
      <c r="AC11" s="14">
        <f>Z11+TIME(0,0,AB11)</f>
        <v>4.5138888888888893E-3</v>
      </c>
      <c r="AD11" s="7">
        <f>RANK(AC11,AC$8:AC$29,1)</f>
        <v>4</v>
      </c>
      <c r="AE11" s="7">
        <f>VLOOKUP(AD11,'Место-баллы'!$A$3:$E$52,2,0)</f>
        <v>85</v>
      </c>
      <c r="AF11" s="10"/>
      <c r="AG11" s="7">
        <v>3</v>
      </c>
      <c r="AH11" s="7">
        <v>16</v>
      </c>
      <c r="AI11" s="14">
        <f>TIME(0,AG11,AH11)</f>
        <v>2.2685185185185182E-3</v>
      </c>
      <c r="AJ11" s="7">
        <v>90</v>
      </c>
      <c r="AK11" s="7">
        <f>AJ$2-AJ11</f>
        <v>0</v>
      </c>
      <c r="AL11" s="14">
        <f>AI11+TIME(0,0,AK11)</f>
        <v>2.2685185185185182E-3</v>
      </c>
      <c r="AM11" s="7">
        <f>RANK(AL11,AL$8:AL$29,1)</f>
        <v>5</v>
      </c>
      <c r="AN11" s="7">
        <f>VLOOKUP(AM11,'Место-баллы'!$A$3:$E$52,2,0)</f>
        <v>80</v>
      </c>
      <c r="AO11" s="10"/>
      <c r="AP11" s="7">
        <v>4</v>
      </c>
      <c r="AQ11" s="7">
        <v>48</v>
      </c>
      <c r="AR11" s="14">
        <f>TIME(0,AP11,AQ11)</f>
        <v>3.3333333333333335E-3</v>
      </c>
      <c r="AS11" s="7">
        <v>120</v>
      </c>
      <c r="AT11" s="7">
        <f>AS$2-AS11</f>
        <v>0</v>
      </c>
      <c r="AU11" s="14">
        <f>AR11+TIME(0,0,AT11)</f>
        <v>3.3333333333333335E-3</v>
      </c>
      <c r="AV11" s="7">
        <f>RANK(AU11,AU$8:AU$29,1)</f>
        <v>5</v>
      </c>
      <c r="AW11" s="7">
        <f>VLOOKUP(AV11,'Место-баллы'!$A$3:$E$52,2,0)</f>
        <v>80</v>
      </c>
      <c r="AX11" s="10"/>
      <c r="AY11" s="31">
        <v>4</v>
      </c>
      <c r="AZ11" s="7">
        <v>59</v>
      </c>
      <c r="BA11" s="14"/>
      <c r="BB11" s="31">
        <v>7</v>
      </c>
      <c r="BC11" s="7">
        <v>39</v>
      </c>
      <c r="BD11" s="14">
        <f>TIME(0,BB11,BC11)</f>
        <v>5.3125000000000004E-3</v>
      </c>
      <c r="BE11" s="7">
        <v>6</v>
      </c>
      <c r="BF11" s="7">
        <f>BE$2-BE11</f>
        <v>0</v>
      </c>
      <c r="BG11" s="14">
        <f>BD11+TIME(0,0,BF11)</f>
        <v>5.3125000000000004E-3</v>
      </c>
      <c r="BH11" s="7">
        <f>RANK(BG11,BG$8:BG$29,1)</f>
        <v>4</v>
      </c>
      <c r="BI11" s="7">
        <f>VLOOKUP(BH11,'Место-баллы'!$A$3:$E$52,2,0)</f>
        <v>85</v>
      </c>
    </row>
    <row r="12" spans="2:61" x14ac:dyDescent="0.25">
      <c r="B12" s="7">
        <f>RANK(C12,C$8:C$29,0)</f>
        <v>5</v>
      </c>
      <c r="C12" s="7">
        <f>SUMIF($H$1:$BI$1,1,$H12:$BI12)</f>
        <v>491</v>
      </c>
      <c r="D12" s="10"/>
      <c r="E12" s="16" t="s">
        <v>68</v>
      </c>
      <c r="F12" s="13"/>
      <c r="G12" s="10"/>
      <c r="H12" s="7">
        <f>105+110+115+120+125</f>
        <v>575</v>
      </c>
      <c r="I12" s="7">
        <v>2</v>
      </c>
      <c r="J12" s="7">
        <f>VLOOKUP(I12,'Место-баллы'!$A$3:$E$52,2,0)</f>
        <v>95</v>
      </c>
      <c r="K12" s="10"/>
      <c r="L12" s="7">
        <v>4</v>
      </c>
      <c r="M12" s="7">
        <v>30</v>
      </c>
      <c r="N12" s="14">
        <f>TIME(0,L12,M12)</f>
        <v>3.1249999999999997E-3</v>
      </c>
      <c r="O12" s="7">
        <v>48</v>
      </c>
      <c r="P12" s="7">
        <f>O$2-O12</f>
        <v>0</v>
      </c>
      <c r="Q12" s="14">
        <f>N12+TIME(0,0,P12)</f>
        <v>3.1249999999999997E-3</v>
      </c>
      <c r="R12" s="7">
        <f>RANK(Q12,Q$8:Q$29,1)</f>
        <v>12</v>
      </c>
      <c r="S12" s="7">
        <f>VLOOKUP(R12,'Место-баллы'!$A$3:$E$52,2,0)</f>
        <v>63</v>
      </c>
      <c r="T12" s="10"/>
      <c r="U12" s="7"/>
      <c r="V12" s="7"/>
      <c r="W12" s="14"/>
      <c r="X12" s="7">
        <v>6</v>
      </c>
      <c r="Y12" s="7">
        <v>27</v>
      </c>
      <c r="Z12" s="14">
        <f>TIME(0,X12,Y12)</f>
        <v>4.4791666666666669E-3</v>
      </c>
      <c r="AA12" s="7">
        <v>7</v>
      </c>
      <c r="AB12" s="7">
        <f>AA$2-AA12</f>
        <v>0</v>
      </c>
      <c r="AC12" s="14">
        <f>Z12+TIME(0,0,AB12)</f>
        <v>4.4791666666666669E-3</v>
      </c>
      <c r="AD12" s="7">
        <f>RANK(AC12,AC$8:AC$29,1)</f>
        <v>1</v>
      </c>
      <c r="AE12" s="7">
        <f>VLOOKUP(AD12,'Место-баллы'!$A$3:$E$52,2,0)</f>
        <v>100</v>
      </c>
      <c r="AF12" s="10"/>
      <c r="AG12" s="7">
        <v>3</v>
      </c>
      <c r="AH12" s="7">
        <v>53</v>
      </c>
      <c r="AI12" s="14">
        <f>TIME(0,AG12,AH12)</f>
        <v>2.6967592592592594E-3</v>
      </c>
      <c r="AJ12" s="7">
        <v>90</v>
      </c>
      <c r="AK12" s="7">
        <f>AJ$2-AJ12</f>
        <v>0</v>
      </c>
      <c r="AL12" s="14">
        <f>AI12+TIME(0,0,AK12)</f>
        <v>2.6967592592592594E-3</v>
      </c>
      <c r="AM12" s="7">
        <f>RANK(AL12,AL$8:AL$29,1)</f>
        <v>9</v>
      </c>
      <c r="AN12" s="7">
        <f>VLOOKUP(AM12,'Место-баллы'!$A$3:$E$52,2,0)</f>
        <v>69</v>
      </c>
      <c r="AO12" s="10"/>
      <c r="AP12" s="7">
        <v>6</v>
      </c>
      <c r="AQ12" s="7">
        <v>11</v>
      </c>
      <c r="AR12" s="14">
        <f>TIME(0,AP12,AQ12)</f>
        <v>4.2939814814814811E-3</v>
      </c>
      <c r="AS12" s="7">
        <v>120</v>
      </c>
      <c r="AT12" s="7">
        <f>AS$2-AS12</f>
        <v>0</v>
      </c>
      <c r="AU12" s="14">
        <f>AR12+TIME(0,0,AT12)</f>
        <v>4.2939814814814811E-3</v>
      </c>
      <c r="AV12" s="7">
        <f>RANK(AU12,AU$8:AU$29,1)</f>
        <v>9</v>
      </c>
      <c r="AW12" s="7">
        <f>VLOOKUP(AV12,'Место-баллы'!$A$3:$E$52,2,0)</f>
        <v>69</v>
      </c>
      <c r="AX12" s="10"/>
      <c r="AY12" s="31">
        <v>4</v>
      </c>
      <c r="AZ12" s="7">
        <v>54</v>
      </c>
      <c r="BA12" s="14"/>
      <c r="BB12" s="31">
        <v>7</v>
      </c>
      <c r="BC12" s="7">
        <v>31</v>
      </c>
      <c r="BD12" s="14">
        <f>TIME(0,BB12,BC12)</f>
        <v>5.2199074074074066E-3</v>
      </c>
      <c r="BE12" s="7">
        <v>6</v>
      </c>
      <c r="BF12" s="7">
        <f>BE$2-BE12</f>
        <v>0</v>
      </c>
      <c r="BG12" s="14">
        <f>BD12+TIME(0,0,BF12)</f>
        <v>5.2199074074074066E-3</v>
      </c>
      <c r="BH12" s="7">
        <f>RANK(BG12,BG$8:BG$29,1)</f>
        <v>2</v>
      </c>
      <c r="BI12" s="7">
        <f>VLOOKUP(BH12,'Место-баллы'!$A$3:$E$52,2,0)</f>
        <v>95</v>
      </c>
    </row>
    <row r="13" spans="2:61" x14ac:dyDescent="0.25">
      <c r="B13" s="7">
        <f>RANK(C13,C$8:C$29,0)</f>
        <v>6</v>
      </c>
      <c r="C13" s="7">
        <f>SUMIF($H$1:$BI$1,1,$H13:$BI13)</f>
        <v>452</v>
      </c>
      <c r="D13" s="10"/>
      <c r="E13" s="16" t="s">
        <v>63</v>
      </c>
      <c r="F13" s="13"/>
      <c r="G13" s="10"/>
      <c r="H13" s="7">
        <f>90+95+100+105+110</f>
        <v>500</v>
      </c>
      <c r="I13" s="7">
        <v>8</v>
      </c>
      <c r="J13" s="7">
        <f>VLOOKUP(I13,'Место-баллы'!$A$3:$E$52,2,0)</f>
        <v>71</v>
      </c>
      <c r="K13" s="10"/>
      <c r="L13" s="7">
        <v>3</v>
      </c>
      <c r="M13" s="7">
        <v>33</v>
      </c>
      <c r="N13" s="14">
        <f>TIME(0,L13,M13)</f>
        <v>2.4652777777777776E-3</v>
      </c>
      <c r="O13" s="7">
        <v>48</v>
      </c>
      <c r="P13" s="7">
        <f>O$2-O13</f>
        <v>0</v>
      </c>
      <c r="Q13" s="14">
        <f>N13+TIME(0,0,P13)</f>
        <v>2.4652777777777776E-3</v>
      </c>
      <c r="R13" s="7">
        <f>RANK(Q13,Q$8:Q$29,1)</f>
        <v>5</v>
      </c>
      <c r="S13" s="7">
        <f>VLOOKUP(R13,'Место-баллы'!$A$3:$E$52,2,0)</f>
        <v>80</v>
      </c>
      <c r="T13" s="10"/>
      <c r="U13" s="7"/>
      <c r="V13" s="7"/>
      <c r="W13" s="14"/>
      <c r="X13" s="7">
        <v>6</v>
      </c>
      <c r="Y13" s="7">
        <v>42</v>
      </c>
      <c r="Z13" s="14">
        <f>TIME(0,X13,Y13)</f>
        <v>4.6527777777777774E-3</v>
      </c>
      <c r="AA13" s="7">
        <v>7</v>
      </c>
      <c r="AB13" s="7">
        <f>AA$2-AA13</f>
        <v>0</v>
      </c>
      <c r="AC13" s="14">
        <f>Z13+TIME(0,0,AB13)</f>
        <v>4.6527777777777774E-3</v>
      </c>
      <c r="AD13" s="7">
        <f>RANK(AC13,AC$8:AC$29,1)</f>
        <v>6</v>
      </c>
      <c r="AE13" s="7">
        <f>VLOOKUP(AD13,'Место-баллы'!$A$3:$E$52,2,0)</f>
        <v>75</v>
      </c>
      <c r="AF13" s="10"/>
      <c r="AG13" s="7">
        <v>3</v>
      </c>
      <c r="AH13" s="7">
        <v>48</v>
      </c>
      <c r="AI13" s="14">
        <f>TIME(0,AG13,AH13)</f>
        <v>2.6388888888888885E-3</v>
      </c>
      <c r="AJ13" s="7">
        <v>90</v>
      </c>
      <c r="AK13" s="7">
        <f>AJ$2-AJ13</f>
        <v>0</v>
      </c>
      <c r="AL13" s="14">
        <f>AI13+TIME(0,0,AK13)</f>
        <v>2.6388888888888885E-3</v>
      </c>
      <c r="AM13" s="7">
        <f>RANK(AL13,AL$8:AL$29,1)</f>
        <v>8</v>
      </c>
      <c r="AN13" s="7">
        <f>VLOOKUP(AM13,'Место-баллы'!$A$3:$E$52,2,0)</f>
        <v>71</v>
      </c>
      <c r="AO13" s="10"/>
      <c r="AP13" s="7">
        <v>5</v>
      </c>
      <c r="AQ13" s="7">
        <v>26</v>
      </c>
      <c r="AR13" s="14">
        <f>TIME(0,AP13,AQ13)</f>
        <v>3.7731481481481483E-3</v>
      </c>
      <c r="AS13" s="7">
        <v>120</v>
      </c>
      <c r="AT13" s="7">
        <f>AS$2-AS13</f>
        <v>0</v>
      </c>
      <c r="AU13" s="14">
        <f>AR13+TIME(0,0,AT13)</f>
        <v>3.7731481481481483E-3</v>
      </c>
      <c r="AV13" s="7">
        <f>RANK(AU13,AU$8:AU$29,1)</f>
        <v>6</v>
      </c>
      <c r="AW13" s="7">
        <f>VLOOKUP(AV13,'Место-баллы'!$A$3:$E$52,2,0)</f>
        <v>75</v>
      </c>
      <c r="AX13" s="10"/>
      <c r="AY13" s="31">
        <v>4</v>
      </c>
      <c r="AZ13" s="7">
        <v>57</v>
      </c>
      <c r="BA13" s="14"/>
      <c r="BB13" s="31">
        <v>7</v>
      </c>
      <c r="BC13" s="7">
        <v>44</v>
      </c>
      <c r="BD13" s="14">
        <f>TIME(0,BB13,BC13)</f>
        <v>5.37037037037037E-3</v>
      </c>
      <c r="BE13" s="7">
        <v>6</v>
      </c>
      <c r="BF13" s="7">
        <f>BE$2-BE13</f>
        <v>0</v>
      </c>
      <c r="BG13" s="14">
        <f>BD13+TIME(0,0,BF13)</f>
        <v>5.37037037037037E-3</v>
      </c>
      <c r="BH13" s="7">
        <f>RANK(BG13,BG$8:BG$29,1)</f>
        <v>5</v>
      </c>
      <c r="BI13" s="7">
        <f>VLOOKUP(BH13,'Место-баллы'!$A$3:$E$52,2,0)</f>
        <v>80</v>
      </c>
    </row>
    <row r="14" spans="2:61" x14ac:dyDescent="0.25">
      <c r="B14" s="7">
        <f>RANK(C14,C$8:C$29,0)</f>
        <v>7</v>
      </c>
      <c r="C14" s="7">
        <f>SUMIF($H$1:$BI$1,1,$H14:$BI14)</f>
        <v>442</v>
      </c>
      <c r="D14" s="10"/>
      <c r="E14" s="16" t="s">
        <v>65</v>
      </c>
      <c r="F14" s="13"/>
      <c r="G14" s="10"/>
      <c r="H14" s="7">
        <f>85+90+95+100</f>
        <v>370</v>
      </c>
      <c r="I14" s="7">
        <f>RANK(H14,H$8:H$29,0)</f>
        <v>19</v>
      </c>
      <c r="J14" s="7">
        <f>VLOOKUP(I14,'Место-баллы'!$A$3:$E$52,2,0)</f>
        <v>49</v>
      </c>
      <c r="K14" s="10"/>
      <c r="L14" s="7">
        <v>3</v>
      </c>
      <c r="M14" s="7">
        <v>24</v>
      </c>
      <c r="N14" s="14">
        <f>TIME(0,L14,M14)</f>
        <v>2.3611111111111111E-3</v>
      </c>
      <c r="O14" s="7">
        <v>48</v>
      </c>
      <c r="P14" s="7">
        <f>O$2-O14</f>
        <v>0</v>
      </c>
      <c r="Q14" s="14">
        <f>N14+TIME(0,0,P14)</f>
        <v>2.3611111111111111E-3</v>
      </c>
      <c r="R14" s="7">
        <f>RANK(Q14,Q$8:Q$29,1)</f>
        <v>4</v>
      </c>
      <c r="S14" s="7">
        <f>VLOOKUP(R14,'Место-баллы'!$A$3:$E$52,2,0)</f>
        <v>85</v>
      </c>
      <c r="T14" s="10"/>
      <c r="U14" s="7"/>
      <c r="V14" s="7"/>
      <c r="W14" s="14"/>
      <c r="X14" s="7">
        <v>7</v>
      </c>
      <c r="Y14" s="7">
        <v>5</v>
      </c>
      <c r="Z14" s="14">
        <f>TIME(0,X14,Y14)</f>
        <v>4.9189814814814816E-3</v>
      </c>
      <c r="AA14" s="7">
        <v>7</v>
      </c>
      <c r="AB14" s="7">
        <f>AA$2-AA14</f>
        <v>0</v>
      </c>
      <c r="AC14" s="14">
        <f>Z14+TIME(0,0,AB14)</f>
        <v>4.9189814814814816E-3</v>
      </c>
      <c r="AD14" s="7">
        <f>RANK(AC14,AC$8:AC$29,1)</f>
        <v>9</v>
      </c>
      <c r="AE14" s="7">
        <f>VLOOKUP(AD14,'Место-баллы'!$A$3:$E$52,2,0)</f>
        <v>69</v>
      </c>
      <c r="AF14" s="10"/>
      <c r="AG14" s="7">
        <v>2</v>
      </c>
      <c r="AH14" s="7">
        <v>57</v>
      </c>
      <c r="AI14" s="14">
        <f>TIME(0,AG14,AH14)</f>
        <v>2.0486111111111113E-3</v>
      </c>
      <c r="AJ14" s="7">
        <v>90</v>
      </c>
      <c r="AK14" s="7">
        <f>AJ$2-AJ14</f>
        <v>0</v>
      </c>
      <c r="AL14" s="14">
        <f>AI14+TIME(0,0,AK14)</f>
        <v>2.0486111111111113E-3</v>
      </c>
      <c r="AM14" s="7">
        <f>RANK(AL14,AL$8:AL$29,1)</f>
        <v>4</v>
      </c>
      <c r="AN14" s="7">
        <f>VLOOKUP(AM14,'Место-баллы'!$A$3:$E$52,2,0)</f>
        <v>85</v>
      </c>
      <c r="AO14" s="10"/>
      <c r="AP14" s="7">
        <v>4</v>
      </c>
      <c r="AQ14" s="7">
        <v>41</v>
      </c>
      <c r="AR14" s="14">
        <f>TIME(0,AP14,AQ14)</f>
        <v>3.2523148148148151E-3</v>
      </c>
      <c r="AS14" s="7">
        <v>120</v>
      </c>
      <c r="AT14" s="7">
        <f>AS$2-AS14</f>
        <v>0</v>
      </c>
      <c r="AU14" s="14">
        <f>AR14+TIME(0,0,AT14)</f>
        <v>3.2523148148148151E-3</v>
      </c>
      <c r="AV14" s="7">
        <f>RANK(AU14,AU$8:AU$29,1)</f>
        <v>4</v>
      </c>
      <c r="AW14" s="7">
        <f>VLOOKUP(AV14,'Место-баллы'!$A$3:$E$52,2,0)</f>
        <v>85</v>
      </c>
      <c r="AX14" s="10"/>
      <c r="AY14" s="31">
        <v>5</v>
      </c>
      <c r="AZ14" s="7">
        <v>12</v>
      </c>
      <c r="BA14" s="14"/>
      <c r="BB14" s="31">
        <v>8</v>
      </c>
      <c r="BC14" s="7">
        <v>20</v>
      </c>
      <c r="BD14" s="14">
        <f>TIME(0,BB14,BC14)</f>
        <v>5.7870370370370376E-3</v>
      </c>
      <c r="BE14" s="7">
        <v>6</v>
      </c>
      <c r="BF14" s="7">
        <f>BE$2-BE14</f>
        <v>0</v>
      </c>
      <c r="BG14" s="14">
        <f>BD14+TIME(0,0,BF14)</f>
        <v>5.7870370370370376E-3</v>
      </c>
      <c r="BH14" s="7">
        <f>RANK(BG14,BG$8:BG$29,1)</f>
        <v>9</v>
      </c>
      <c r="BI14" s="7">
        <f>VLOOKUP(BH14,'Место-баллы'!$A$3:$E$52,2,0)</f>
        <v>69</v>
      </c>
    </row>
    <row r="15" spans="2:61" x14ac:dyDescent="0.25">
      <c r="B15" s="7">
        <f>RANK(C15,C$8:C$29,0)</f>
        <v>8</v>
      </c>
      <c r="C15" s="7">
        <f>SUMIF($H$1:$BI$1,1,$H15:$BI15)</f>
        <v>424</v>
      </c>
      <c r="D15" s="10"/>
      <c r="E15" s="16" t="s">
        <v>67</v>
      </c>
      <c r="F15" s="13" t="s">
        <v>214</v>
      </c>
      <c r="G15" s="10"/>
      <c r="H15" s="7">
        <f>70+75+80+85+90</f>
        <v>400</v>
      </c>
      <c r="I15" s="7">
        <f>RANK(H15,H$8:H$29,0)</f>
        <v>15</v>
      </c>
      <c r="J15" s="7">
        <f>VLOOKUP(I15,'Место-баллы'!$A$3:$E$52,2,0)</f>
        <v>57</v>
      </c>
      <c r="K15" s="10"/>
      <c r="L15" s="7">
        <v>3</v>
      </c>
      <c r="M15" s="7">
        <v>37</v>
      </c>
      <c r="N15" s="14">
        <f>TIME(0,L15,M15)</f>
        <v>2.5115740740740741E-3</v>
      </c>
      <c r="O15" s="7">
        <v>48</v>
      </c>
      <c r="P15" s="7">
        <f>O$2-O15</f>
        <v>0</v>
      </c>
      <c r="Q15" s="14">
        <f>N15+TIME(0,0,P15)</f>
        <v>2.5115740740740741E-3</v>
      </c>
      <c r="R15" s="7">
        <f>RANK(Q15,Q$8:Q$29,1)</f>
        <v>6</v>
      </c>
      <c r="S15" s="7">
        <f>VLOOKUP(R15,'Место-баллы'!$A$3:$E$52,2,0)</f>
        <v>75</v>
      </c>
      <c r="T15" s="10"/>
      <c r="U15" s="7"/>
      <c r="V15" s="7"/>
      <c r="W15" s="14"/>
      <c r="X15" s="7">
        <v>7</v>
      </c>
      <c r="Y15" s="7">
        <v>2</v>
      </c>
      <c r="Z15" s="14">
        <f>TIME(0,X15,Y15)</f>
        <v>4.8842592592592592E-3</v>
      </c>
      <c r="AA15" s="7">
        <v>7</v>
      </c>
      <c r="AB15" s="7">
        <f>AA$2-AA15</f>
        <v>0</v>
      </c>
      <c r="AC15" s="14">
        <f>Z15+TIME(0,0,AB15)</f>
        <v>4.8842592592592592E-3</v>
      </c>
      <c r="AD15" s="7">
        <f>RANK(AC15,AC$8:AC$29,1)</f>
        <v>8</v>
      </c>
      <c r="AE15" s="7">
        <f>VLOOKUP(AD15,'Место-баллы'!$A$3:$E$52,2,0)</f>
        <v>71</v>
      </c>
      <c r="AF15" s="10"/>
      <c r="AG15" s="7">
        <v>3</v>
      </c>
      <c r="AH15" s="7">
        <v>35</v>
      </c>
      <c r="AI15" s="14">
        <f>TIME(0,AG15,AH15)</f>
        <v>2.488425925925926E-3</v>
      </c>
      <c r="AJ15" s="7">
        <v>90</v>
      </c>
      <c r="AK15" s="7">
        <f>AJ$2-AJ15</f>
        <v>0</v>
      </c>
      <c r="AL15" s="14">
        <f>AI15+TIME(0,0,AK15)</f>
        <v>2.488425925925926E-3</v>
      </c>
      <c r="AM15" s="7">
        <f>RANK(AL15,AL$8:AL$29,1)</f>
        <v>7</v>
      </c>
      <c r="AN15" s="7">
        <f>VLOOKUP(AM15,'Место-баллы'!$A$3:$E$52,2,0)</f>
        <v>73</v>
      </c>
      <c r="AO15" s="10"/>
      <c r="AP15" s="7">
        <v>5</v>
      </c>
      <c r="AQ15" s="7">
        <v>37</v>
      </c>
      <c r="AR15" s="14">
        <f>TIME(0,AP15,AQ15)</f>
        <v>3.9004629629629632E-3</v>
      </c>
      <c r="AS15" s="7">
        <v>120</v>
      </c>
      <c r="AT15" s="7">
        <f>AS$2-AS15</f>
        <v>0</v>
      </c>
      <c r="AU15" s="14">
        <f>AR15+TIME(0,0,AT15)</f>
        <v>3.9004629629629632E-3</v>
      </c>
      <c r="AV15" s="7">
        <f>RANK(AU15,AU$8:AU$29,1)</f>
        <v>7</v>
      </c>
      <c r="AW15" s="7">
        <f>VLOOKUP(AV15,'Место-баллы'!$A$3:$E$52,2,0)</f>
        <v>73</v>
      </c>
      <c r="AX15" s="10"/>
      <c r="AY15" s="7">
        <v>4</v>
      </c>
      <c r="AZ15" s="7">
        <v>58</v>
      </c>
      <c r="BA15" s="14"/>
      <c r="BB15" s="7">
        <v>7</v>
      </c>
      <c r="BC15" s="7">
        <v>51</v>
      </c>
      <c r="BD15" s="14">
        <f>TIME(0,BB15,BC15)</f>
        <v>5.4513888888888884E-3</v>
      </c>
      <c r="BE15" s="7">
        <v>6</v>
      </c>
      <c r="BF15" s="7">
        <f>BE$2-BE15</f>
        <v>0</v>
      </c>
      <c r="BG15" s="14">
        <f>BD15+TIME(0,0,BF15)</f>
        <v>5.4513888888888884E-3</v>
      </c>
      <c r="BH15" s="7">
        <f>RANK(BG15,BG$8:BG$29,1)</f>
        <v>6</v>
      </c>
      <c r="BI15" s="7">
        <f>VLOOKUP(BH15,'Место-баллы'!$A$3:$E$52,2,0)</f>
        <v>75</v>
      </c>
    </row>
    <row r="16" spans="2:61" x14ac:dyDescent="0.25">
      <c r="B16" s="7">
        <f>RANK(C16,C$8:C$29,0)</f>
        <v>9</v>
      </c>
      <c r="C16" s="7">
        <f>SUMIF($H$1:$BI$1,1,$H16:$BI16)</f>
        <v>422</v>
      </c>
      <c r="D16" s="10"/>
      <c r="E16" s="16" t="s">
        <v>72</v>
      </c>
      <c r="F16" s="13" t="s">
        <v>98</v>
      </c>
      <c r="G16" s="10"/>
      <c r="H16" s="7">
        <f>90+95+100+105+110</f>
        <v>500</v>
      </c>
      <c r="I16" s="7">
        <v>7</v>
      </c>
      <c r="J16" s="7">
        <f>VLOOKUP(I16,'Место-баллы'!$A$3:$E$52,2,0)</f>
        <v>73</v>
      </c>
      <c r="K16" s="10"/>
      <c r="L16" s="7">
        <v>3</v>
      </c>
      <c r="M16" s="7">
        <v>43</v>
      </c>
      <c r="N16" s="14">
        <f>TIME(0,L16,M16)</f>
        <v>2.5810185185185185E-3</v>
      </c>
      <c r="O16" s="7">
        <v>48</v>
      </c>
      <c r="P16" s="7">
        <f>O$2-O16</f>
        <v>0</v>
      </c>
      <c r="Q16" s="14">
        <f>N16+TIME(0,0,P16)</f>
        <v>2.5810185185185185E-3</v>
      </c>
      <c r="R16" s="7">
        <f>RANK(Q16,Q$8:Q$29,1)</f>
        <v>7</v>
      </c>
      <c r="S16" s="7">
        <f>VLOOKUP(R16,'Место-баллы'!$A$3:$E$52,2,0)</f>
        <v>73</v>
      </c>
      <c r="T16" s="10"/>
      <c r="U16" s="7"/>
      <c r="V16" s="7"/>
      <c r="W16" s="14"/>
      <c r="X16" s="7">
        <v>6</v>
      </c>
      <c r="Y16" s="7">
        <v>48</v>
      </c>
      <c r="Z16" s="14">
        <f>TIME(0,X16,Y16)</f>
        <v>4.7222222222222223E-3</v>
      </c>
      <c r="AA16" s="7">
        <v>7</v>
      </c>
      <c r="AB16" s="7">
        <f>AA$2-AA16</f>
        <v>0</v>
      </c>
      <c r="AC16" s="14">
        <f>Z16+TIME(0,0,AB16)</f>
        <v>4.7222222222222223E-3</v>
      </c>
      <c r="AD16" s="7">
        <f>RANK(AC16,AC$8:AC$29,1)</f>
        <v>7</v>
      </c>
      <c r="AE16" s="7">
        <f>VLOOKUP(AD16,'Место-баллы'!$A$3:$E$52,2,0)</f>
        <v>73</v>
      </c>
      <c r="AF16" s="10"/>
      <c r="AG16" s="7">
        <v>3</v>
      </c>
      <c r="AH16" s="7">
        <v>27</v>
      </c>
      <c r="AI16" s="14">
        <f>TIME(0,AG16,AH16)</f>
        <v>2.3958333333333336E-3</v>
      </c>
      <c r="AJ16" s="7">
        <v>90</v>
      </c>
      <c r="AK16" s="7">
        <f>AJ$2-AJ16</f>
        <v>0</v>
      </c>
      <c r="AL16" s="14">
        <f>AI16+TIME(0,0,AK16)</f>
        <v>2.3958333333333336E-3</v>
      </c>
      <c r="AM16" s="7">
        <f>RANK(AL16,AL$8:AL$29,1)</f>
        <v>6</v>
      </c>
      <c r="AN16" s="7">
        <f>VLOOKUP(AM16,'Место-баллы'!$A$3:$E$52,2,0)</f>
        <v>75</v>
      </c>
      <c r="AO16" s="10"/>
      <c r="AP16" s="7">
        <v>6</v>
      </c>
      <c r="AQ16" s="7">
        <v>28</v>
      </c>
      <c r="AR16" s="14">
        <f>TIME(0,AP16,AQ16)</f>
        <v>4.4907407407407405E-3</v>
      </c>
      <c r="AS16" s="7">
        <v>120</v>
      </c>
      <c r="AT16" s="7">
        <f>AS$2-AS16</f>
        <v>0</v>
      </c>
      <c r="AU16" s="14">
        <f>AR16+TIME(0,0,AT16)</f>
        <v>4.4907407407407405E-3</v>
      </c>
      <c r="AV16" s="7">
        <f>RANK(AU16,AU$8:AU$29,1)</f>
        <v>13</v>
      </c>
      <c r="AW16" s="7">
        <f>VLOOKUP(AV16,'Место-баллы'!$A$3:$E$52,2,0)</f>
        <v>61</v>
      </c>
      <c r="AX16" s="10"/>
      <c r="AY16" s="7">
        <v>5</v>
      </c>
      <c r="AZ16" s="7">
        <v>12</v>
      </c>
      <c r="BA16" s="14"/>
      <c r="BB16" s="7">
        <v>8</v>
      </c>
      <c r="BC16" s="7">
        <v>37</v>
      </c>
      <c r="BD16" s="14">
        <f>TIME(0,BB16,BC16)</f>
        <v>5.9837962962962961E-3</v>
      </c>
      <c r="BE16" s="7">
        <v>6</v>
      </c>
      <c r="BF16" s="7">
        <f>BE$2-BE16</f>
        <v>0</v>
      </c>
      <c r="BG16" s="14">
        <f>BD16+TIME(0,0,BF16)</f>
        <v>5.9837962962962961E-3</v>
      </c>
      <c r="BH16" s="7">
        <f>RANK(BG16,BG$8:BG$29,1)</f>
        <v>10</v>
      </c>
      <c r="BI16" s="7">
        <f>VLOOKUP(BH16,'Место-баллы'!$A$3:$E$52,2,0)</f>
        <v>67</v>
      </c>
    </row>
    <row r="17" spans="2:61" x14ac:dyDescent="0.25">
      <c r="B17" s="7">
        <f>RANK(C17,C$8:C$29,0)</f>
        <v>10</v>
      </c>
      <c r="C17" s="7">
        <f>SUMIF($H$1:$BI$1,1,$H17:$BI17)</f>
        <v>391</v>
      </c>
      <c r="D17" s="10"/>
      <c r="E17" s="16" t="s">
        <v>74</v>
      </c>
      <c r="F17" s="13" t="s">
        <v>215</v>
      </c>
      <c r="G17" s="10"/>
      <c r="H17" s="7">
        <f>95+100+105+110+115</f>
        <v>525</v>
      </c>
      <c r="I17" s="7">
        <f>RANK(H17,H$8:H$29,0)</f>
        <v>5</v>
      </c>
      <c r="J17" s="7">
        <f>VLOOKUP(I17,'Место-баллы'!$A$3:$E$52,2,0)</f>
        <v>80</v>
      </c>
      <c r="K17" s="10"/>
      <c r="L17" s="7">
        <v>3</v>
      </c>
      <c r="M17" s="7">
        <v>51</v>
      </c>
      <c r="N17" s="14">
        <f>TIME(0,L17,M17)</f>
        <v>2.673611111111111E-3</v>
      </c>
      <c r="O17" s="7">
        <v>48</v>
      </c>
      <c r="P17" s="7">
        <f>O$2-O17</f>
        <v>0</v>
      </c>
      <c r="Q17" s="14">
        <f>N17+TIME(0,0,P17)</f>
        <v>2.673611111111111E-3</v>
      </c>
      <c r="R17" s="7">
        <f>RANK(Q17,Q$8:Q$29,1)</f>
        <v>10</v>
      </c>
      <c r="S17" s="7">
        <f>VLOOKUP(R17,'Место-баллы'!$A$3:$E$52,2,0)</f>
        <v>67</v>
      </c>
      <c r="T17" s="10"/>
      <c r="U17" s="7">
        <v>6</v>
      </c>
      <c r="V17" s="7">
        <v>25</v>
      </c>
      <c r="W17" s="14">
        <f>TIME(0,U17,V17)</f>
        <v>4.4560185185185189E-3</v>
      </c>
      <c r="X17" s="7">
        <v>8</v>
      </c>
      <c r="Y17" s="7">
        <v>5</v>
      </c>
      <c r="Z17" s="14">
        <f>TIME(0,X17,Y17)</f>
        <v>5.6134259259259271E-3</v>
      </c>
      <c r="AA17" s="7">
        <v>6</v>
      </c>
      <c r="AB17" s="7">
        <f>AA$2-AA17</f>
        <v>1</v>
      </c>
      <c r="AC17" s="14">
        <f>Z17+TIME(0,0,AB17)</f>
        <v>5.6250000000000015E-3</v>
      </c>
      <c r="AD17" s="7">
        <f>RANK(AC17,AC$8:AC$29,1)</f>
        <v>16</v>
      </c>
      <c r="AE17" s="7">
        <f>VLOOKUP(AD17,'Место-баллы'!$A$3:$E$52,2,0)</f>
        <v>55</v>
      </c>
      <c r="AF17" s="10"/>
      <c r="AG17" s="7">
        <v>6</v>
      </c>
      <c r="AH17" s="7">
        <v>42</v>
      </c>
      <c r="AI17" s="14">
        <f>TIME(0,AG17,AH17)</f>
        <v>4.6527777777777774E-3</v>
      </c>
      <c r="AJ17" s="7">
        <v>90</v>
      </c>
      <c r="AK17" s="7">
        <f>AJ$2-AJ17</f>
        <v>0</v>
      </c>
      <c r="AL17" s="14">
        <f>AI17+TIME(0,0,AK17)</f>
        <v>4.6527777777777774E-3</v>
      </c>
      <c r="AM17" s="7">
        <f>RANK(AL17,AL$8:AL$29,1)</f>
        <v>16</v>
      </c>
      <c r="AN17" s="7">
        <f>VLOOKUP(AM17,'Место-баллы'!$A$3:$E$52,2,0)</f>
        <v>55</v>
      </c>
      <c r="AO17" s="10"/>
      <c r="AP17" s="7">
        <v>6</v>
      </c>
      <c r="AQ17" s="7">
        <v>18</v>
      </c>
      <c r="AR17" s="14">
        <f>TIME(0,AP17,AQ17)</f>
        <v>4.3749999999999995E-3</v>
      </c>
      <c r="AS17" s="7">
        <v>120</v>
      </c>
      <c r="AT17" s="7">
        <f>AS$2-AS17</f>
        <v>0</v>
      </c>
      <c r="AU17" s="14">
        <f>AR17+TIME(0,0,AT17)</f>
        <v>4.3749999999999995E-3</v>
      </c>
      <c r="AV17" s="7">
        <f>RANK(AU17,AU$8:AU$29,1)</f>
        <v>12</v>
      </c>
      <c r="AW17" s="7">
        <f>VLOOKUP(AV17,'Место-баллы'!$A$3:$E$52,2,0)</f>
        <v>63</v>
      </c>
      <c r="AX17" s="10"/>
      <c r="AY17" s="31">
        <v>5</v>
      </c>
      <c r="AZ17" s="7">
        <v>5</v>
      </c>
      <c r="BA17" s="14"/>
      <c r="BB17" s="31">
        <v>8</v>
      </c>
      <c r="BC17" s="7">
        <v>15</v>
      </c>
      <c r="BD17" s="14">
        <f>TIME(0,BB17,BC17)</f>
        <v>5.7291666666666671E-3</v>
      </c>
      <c r="BE17" s="7">
        <v>6</v>
      </c>
      <c r="BF17" s="7">
        <f>BE$2-BE17</f>
        <v>0</v>
      </c>
      <c r="BG17" s="14">
        <f>BD17+TIME(0,0,BF17)</f>
        <v>5.7291666666666671E-3</v>
      </c>
      <c r="BH17" s="7">
        <f>RANK(BG17,BG$8:BG$29,1)</f>
        <v>8</v>
      </c>
      <c r="BI17" s="7">
        <f>VLOOKUP(BH17,'Место-баллы'!$A$3:$E$52,2,0)</f>
        <v>71</v>
      </c>
    </row>
    <row r="18" spans="2:61" x14ac:dyDescent="0.25">
      <c r="B18" s="7">
        <f>RANK(C18,C$8:C$29,0)</f>
        <v>11</v>
      </c>
      <c r="C18" s="7">
        <f>SUMIF($H$1:$BI$1,1,$H18:$BI18)</f>
        <v>388</v>
      </c>
      <c r="D18" s="10"/>
      <c r="E18" s="16" t="s">
        <v>60</v>
      </c>
      <c r="F18" s="13" t="s">
        <v>216</v>
      </c>
      <c r="G18" s="10"/>
      <c r="H18" s="7">
        <f>80+85+90+95+100</f>
        <v>450</v>
      </c>
      <c r="I18" s="7">
        <f>RANK(H18,H$8:H$29,0)</f>
        <v>12</v>
      </c>
      <c r="J18" s="7">
        <f>VLOOKUP(I18,'Место-баллы'!$A$3:$E$52,2,0)</f>
        <v>63</v>
      </c>
      <c r="K18" s="10"/>
      <c r="L18" s="7">
        <v>5</v>
      </c>
      <c r="M18" s="7">
        <v>20</v>
      </c>
      <c r="N18" s="14">
        <f>TIME(0,L18,M18)</f>
        <v>3.7037037037037034E-3</v>
      </c>
      <c r="O18" s="7">
        <v>48</v>
      </c>
      <c r="P18" s="7">
        <f>O$2-O18</f>
        <v>0</v>
      </c>
      <c r="Q18" s="14">
        <f>N18+TIME(0,0,P18)</f>
        <v>3.7037037037037034E-3</v>
      </c>
      <c r="R18" s="7">
        <f>RANK(Q18,Q$8:Q$29,1)</f>
        <v>13</v>
      </c>
      <c r="S18" s="7">
        <f>VLOOKUP(R18,'Место-баллы'!$A$3:$E$52,2,0)</f>
        <v>61</v>
      </c>
      <c r="T18" s="10"/>
      <c r="U18" s="7"/>
      <c r="V18" s="7"/>
      <c r="W18" s="14"/>
      <c r="X18" s="7">
        <v>7</v>
      </c>
      <c r="Y18" s="7">
        <v>6</v>
      </c>
      <c r="Z18" s="14">
        <f>TIME(0,X18,Y18)</f>
        <v>4.9305555555555552E-3</v>
      </c>
      <c r="AA18" s="7">
        <v>7</v>
      </c>
      <c r="AB18" s="7">
        <f>AA$2-AA18</f>
        <v>0</v>
      </c>
      <c r="AC18" s="14">
        <f>Z18+TIME(0,0,AB18)</f>
        <v>4.9305555555555552E-3</v>
      </c>
      <c r="AD18" s="7">
        <f>RANK(AC18,AC$8:AC$29,1)</f>
        <v>10</v>
      </c>
      <c r="AE18" s="7">
        <f>VLOOKUP(AD18,'Место-баллы'!$A$3:$E$52,2,0)</f>
        <v>67</v>
      </c>
      <c r="AF18" s="10"/>
      <c r="AG18" s="7">
        <v>4</v>
      </c>
      <c r="AH18" s="7">
        <v>4</v>
      </c>
      <c r="AI18" s="14">
        <f>TIME(0,AG18,AH18)</f>
        <v>2.8240740740740739E-3</v>
      </c>
      <c r="AJ18" s="7">
        <v>90</v>
      </c>
      <c r="AK18" s="7">
        <f>AJ$2-AJ18</f>
        <v>0</v>
      </c>
      <c r="AL18" s="14">
        <f>AI18+TIME(0,0,AK18)</f>
        <v>2.8240740740740739E-3</v>
      </c>
      <c r="AM18" s="7">
        <f>RANK(AL18,AL$8:AL$29,1)</f>
        <v>10</v>
      </c>
      <c r="AN18" s="7">
        <f>VLOOKUP(AM18,'Место-баллы'!$A$3:$E$52,2,0)</f>
        <v>67</v>
      </c>
      <c r="AO18" s="10"/>
      <c r="AP18" s="7">
        <v>6</v>
      </c>
      <c r="AQ18" s="7">
        <v>11</v>
      </c>
      <c r="AR18" s="14">
        <f>TIME(0,AP18,AQ18)</f>
        <v>4.2939814814814811E-3</v>
      </c>
      <c r="AS18" s="7">
        <v>120</v>
      </c>
      <c r="AT18" s="7">
        <f>AS$2-AS18</f>
        <v>0</v>
      </c>
      <c r="AU18" s="14">
        <f>AR18+TIME(0,0,AT18)</f>
        <v>4.2939814814814811E-3</v>
      </c>
      <c r="AV18" s="7">
        <f>RANK(AU18,AU$8:AU$29,1)</f>
        <v>9</v>
      </c>
      <c r="AW18" s="7">
        <f>VLOOKUP(AV18,'Место-баллы'!$A$3:$E$52,2,0)</f>
        <v>69</v>
      </c>
      <c r="AX18" s="10"/>
      <c r="AY18" s="7">
        <v>5</v>
      </c>
      <c r="AZ18" s="7">
        <v>25</v>
      </c>
      <c r="BA18" s="14"/>
      <c r="BB18" s="7">
        <v>8</v>
      </c>
      <c r="BC18" s="7">
        <v>48</v>
      </c>
      <c r="BD18" s="14">
        <f>TIME(0,BB18,BC18)</f>
        <v>6.1111111111111114E-3</v>
      </c>
      <c r="BE18" s="7">
        <v>6</v>
      </c>
      <c r="BF18" s="7">
        <f>BE$2-BE18</f>
        <v>0</v>
      </c>
      <c r="BG18" s="14">
        <f>BD18+TIME(0,0,BF18)</f>
        <v>6.1111111111111114E-3</v>
      </c>
      <c r="BH18" s="7">
        <f>RANK(BG18,BG$8:BG$29,1)</f>
        <v>13</v>
      </c>
      <c r="BI18" s="7">
        <f>VLOOKUP(BH18,'Место-баллы'!$A$3:$E$52,2,0)</f>
        <v>61</v>
      </c>
    </row>
    <row r="19" spans="2:61" x14ac:dyDescent="0.25">
      <c r="B19" s="7">
        <f>RANK(C19,C$8:C$29,0)</f>
        <v>12</v>
      </c>
      <c r="C19" s="7">
        <f>SUMIF($H$1:$BI$1,1,$H19:$BI19)</f>
        <v>386</v>
      </c>
      <c r="D19" s="10"/>
      <c r="E19" s="16" t="s">
        <v>70</v>
      </c>
      <c r="F19" s="13" t="s">
        <v>217</v>
      </c>
      <c r="G19" s="10"/>
      <c r="H19" s="7">
        <f>85+90+95+100+105</f>
        <v>475</v>
      </c>
      <c r="I19" s="7">
        <v>10</v>
      </c>
      <c r="J19" s="7">
        <f>VLOOKUP(I19,'Место-баллы'!$A$3:$E$52,2,0)</f>
        <v>67</v>
      </c>
      <c r="K19" s="10"/>
      <c r="L19" s="7">
        <v>3</v>
      </c>
      <c r="M19" s="7">
        <v>50</v>
      </c>
      <c r="N19" s="14">
        <f>TIME(0,L19,M19)</f>
        <v>2.6620370370370374E-3</v>
      </c>
      <c r="O19" s="7">
        <v>48</v>
      </c>
      <c r="P19" s="7">
        <f>O$2-O19</f>
        <v>0</v>
      </c>
      <c r="Q19" s="14">
        <f>N19+TIME(0,0,P19)</f>
        <v>2.6620370370370374E-3</v>
      </c>
      <c r="R19" s="7">
        <f>RANK(Q19,Q$8:Q$29,1)</f>
        <v>9</v>
      </c>
      <c r="S19" s="7">
        <f>VLOOKUP(R19,'Место-баллы'!$A$3:$E$52,2,0)</f>
        <v>69</v>
      </c>
      <c r="T19" s="10"/>
      <c r="U19" s="7"/>
      <c r="V19" s="7"/>
      <c r="W19" s="14"/>
      <c r="X19" s="7">
        <v>7</v>
      </c>
      <c r="Y19" s="7">
        <v>48</v>
      </c>
      <c r="Z19" s="14">
        <f>TIME(0,X19,Y19)</f>
        <v>5.4166666666666669E-3</v>
      </c>
      <c r="AA19" s="7">
        <v>7</v>
      </c>
      <c r="AB19" s="7">
        <f>AA$2-AA19</f>
        <v>0</v>
      </c>
      <c r="AC19" s="14">
        <f>Z19+TIME(0,0,AB19)</f>
        <v>5.4166666666666669E-3</v>
      </c>
      <c r="AD19" s="7">
        <f>RANK(AC19,AC$8:AC$29,1)</f>
        <v>13</v>
      </c>
      <c r="AE19" s="7">
        <f>VLOOKUP(AD19,'Место-баллы'!$A$3:$E$52,2,0)</f>
        <v>61</v>
      </c>
      <c r="AF19" s="10"/>
      <c r="AG19" s="7">
        <v>4</v>
      </c>
      <c r="AH19" s="7">
        <v>12</v>
      </c>
      <c r="AI19" s="14">
        <f>TIME(0,AG19,AH19)</f>
        <v>2.9166666666666668E-3</v>
      </c>
      <c r="AJ19" s="7">
        <v>90</v>
      </c>
      <c r="AK19" s="7">
        <f>AJ$2-AJ19</f>
        <v>0</v>
      </c>
      <c r="AL19" s="14">
        <f>AI19+TIME(0,0,AK19)</f>
        <v>2.9166666666666668E-3</v>
      </c>
      <c r="AM19" s="7">
        <f>RANK(AL19,AL$8:AL$29,1)</f>
        <v>11</v>
      </c>
      <c r="AN19" s="7">
        <f>VLOOKUP(AM19,'Место-баллы'!$A$3:$E$52,2,0)</f>
        <v>65</v>
      </c>
      <c r="AO19" s="10"/>
      <c r="AP19" s="7">
        <v>6</v>
      </c>
      <c r="AQ19" s="7">
        <v>16</v>
      </c>
      <c r="AR19" s="14">
        <f>TIME(0,AP19,AQ19)</f>
        <v>4.3518518518518515E-3</v>
      </c>
      <c r="AS19" s="7">
        <v>120</v>
      </c>
      <c r="AT19" s="7">
        <f>AS$2-AS19</f>
        <v>0</v>
      </c>
      <c r="AU19" s="14">
        <f>AR19+TIME(0,0,AT19)</f>
        <v>4.3518518518518515E-3</v>
      </c>
      <c r="AV19" s="7">
        <f>RANK(AU19,AU$8:AU$29,1)</f>
        <v>11</v>
      </c>
      <c r="AW19" s="7">
        <f>VLOOKUP(AV19,'Место-баллы'!$A$3:$E$52,2,0)</f>
        <v>65</v>
      </c>
      <c r="AX19" s="10"/>
      <c r="AY19" s="31">
        <v>5</v>
      </c>
      <c r="AZ19" s="7">
        <v>50</v>
      </c>
      <c r="BA19" s="14">
        <f>TIME(0,AY19,AZ19)</f>
        <v>4.0509259259259257E-3</v>
      </c>
      <c r="BB19" s="31">
        <v>9</v>
      </c>
      <c r="BC19" s="7">
        <v>5</v>
      </c>
      <c r="BD19" s="14">
        <f>TIME(0,BB19,BC19)</f>
        <v>6.3078703703703708E-3</v>
      </c>
      <c r="BE19" s="7">
        <v>5</v>
      </c>
      <c r="BF19" s="7">
        <f>BE$2-BE19</f>
        <v>1</v>
      </c>
      <c r="BG19" s="14">
        <f>BD19+TIME(0,0,BF19)</f>
        <v>6.3194444444444452E-3</v>
      </c>
      <c r="BH19" s="7">
        <f>RANK(BG19,BG$8:BG$29,1)</f>
        <v>14</v>
      </c>
      <c r="BI19" s="7">
        <f>VLOOKUP(BH19,'Место-баллы'!$A$3:$E$52,2,0)</f>
        <v>59</v>
      </c>
    </row>
    <row r="20" spans="2:61" x14ac:dyDescent="0.25">
      <c r="B20" s="7">
        <f>RANK(C20,C$8:C$29,0)</f>
        <v>13</v>
      </c>
      <c r="C20" s="7">
        <f>SUMIF($H$1:$BI$1,1,$H20:$BI20)</f>
        <v>382</v>
      </c>
      <c r="D20" s="10"/>
      <c r="E20" s="16" t="s">
        <v>61</v>
      </c>
      <c r="F20" s="13"/>
      <c r="G20" s="10"/>
      <c r="H20" s="7">
        <f>85+90+95+100+105</f>
        <v>475</v>
      </c>
      <c r="I20" s="7">
        <v>11</v>
      </c>
      <c r="J20" s="7">
        <f>VLOOKUP(I20,'Место-баллы'!$A$3:$E$52,2,0)</f>
        <v>65</v>
      </c>
      <c r="K20" s="10"/>
      <c r="L20" s="7">
        <v>3</v>
      </c>
      <c r="M20" s="7">
        <v>45</v>
      </c>
      <c r="N20" s="14">
        <f>TIME(0,L20,M20)</f>
        <v>2.6041666666666665E-3</v>
      </c>
      <c r="O20" s="7">
        <v>48</v>
      </c>
      <c r="P20" s="7">
        <f>O$2-O20</f>
        <v>0</v>
      </c>
      <c r="Q20" s="14">
        <f>N20+TIME(0,0,P20)</f>
        <v>2.6041666666666665E-3</v>
      </c>
      <c r="R20" s="7">
        <f>RANK(Q20,Q$8:Q$29,1)</f>
        <v>8</v>
      </c>
      <c r="S20" s="7">
        <f>VLOOKUP(R20,'Место-баллы'!$A$3:$E$52,2,0)</f>
        <v>71</v>
      </c>
      <c r="T20" s="10"/>
      <c r="U20" s="7"/>
      <c r="V20" s="7"/>
      <c r="W20" s="14"/>
      <c r="X20" s="7">
        <v>7</v>
      </c>
      <c r="Y20" s="7">
        <v>47</v>
      </c>
      <c r="Z20" s="14">
        <f>TIME(0,X20,Y20)</f>
        <v>5.4050925925925924E-3</v>
      </c>
      <c r="AA20" s="7">
        <v>7</v>
      </c>
      <c r="AB20" s="7">
        <f>AA$2-AA20</f>
        <v>0</v>
      </c>
      <c r="AC20" s="14">
        <f>Z20+TIME(0,0,AB20)</f>
        <v>5.4050925925925924E-3</v>
      </c>
      <c r="AD20" s="7">
        <f>RANK(AC20,AC$8:AC$29,1)</f>
        <v>12</v>
      </c>
      <c r="AE20" s="7">
        <f>VLOOKUP(AD20,'Место-баллы'!$A$3:$E$52,2,0)</f>
        <v>63</v>
      </c>
      <c r="AF20" s="10"/>
      <c r="AG20" s="7">
        <v>4</v>
      </c>
      <c r="AH20" s="7">
        <v>29</v>
      </c>
      <c r="AI20" s="14">
        <f>TIME(0,AG20,AH20)</f>
        <v>3.1134259259259257E-3</v>
      </c>
      <c r="AJ20" s="7">
        <v>90</v>
      </c>
      <c r="AK20" s="7">
        <f>AJ$2-AJ20</f>
        <v>0</v>
      </c>
      <c r="AL20" s="14">
        <f>AI20+TIME(0,0,AK20)</f>
        <v>3.1134259259259257E-3</v>
      </c>
      <c r="AM20" s="7">
        <f>RANK(AL20,AL$8:AL$29,1)</f>
        <v>12</v>
      </c>
      <c r="AN20" s="7">
        <f>VLOOKUP(AM20,'Место-баллы'!$A$3:$E$52,2,0)</f>
        <v>63</v>
      </c>
      <c r="AO20" s="10"/>
      <c r="AP20" s="7">
        <v>7</v>
      </c>
      <c r="AQ20" s="7">
        <v>53</v>
      </c>
      <c r="AR20" s="14">
        <f>TIME(0,AP20,AQ20)</f>
        <v>5.4745370370370373E-3</v>
      </c>
      <c r="AS20" s="7">
        <v>120</v>
      </c>
      <c r="AT20" s="7">
        <f>AS$2-AS20</f>
        <v>0</v>
      </c>
      <c r="AU20" s="14">
        <f>AR20+TIME(0,0,AT20)</f>
        <v>5.4745370370370373E-3</v>
      </c>
      <c r="AV20" s="7">
        <f>RANK(AU20,AU$8:AU$29,1)</f>
        <v>16</v>
      </c>
      <c r="AW20" s="7">
        <f>VLOOKUP(AV20,'Место-баллы'!$A$3:$E$52,2,0)</f>
        <v>55</v>
      </c>
      <c r="AX20" s="10"/>
      <c r="AY20" s="7">
        <v>5</v>
      </c>
      <c r="AZ20" s="7">
        <v>11</v>
      </c>
      <c r="BA20" s="14"/>
      <c r="BB20" s="7">
        <v>8</v>
      </c>
      <c r="BC20" s="7">
        <v>40</v>
      </c>
      <c r="BD20" s="14">
        <f>TIME(0,BB20,BC20)</f>
        <v>6.0185185185185177E-3</v>
      </c>
      <c r="BE20" s="7">
        <v>6</v>
      </c>
      <c r="BF20" s="7">
        <f>BE$2-BE20</f>
        <v>0</v>
      </c>
      <c r="BG20" s="14">
        <f>BD20+TIME(0,0,BF20)</f>
        <v>6.0185185185185177E-3</v>
      </c>
      <c r="BH20" s="7">
        <f>RANK(BG20,BG$8:BG$29,1)</f>
        <v>11</v>
      </c>
      <c r="BI20" s="7">
        <f>VLOOKUP(BH20,'Место-баллы'!$A$3:$E$52,2,0)</f>
        <v>65</v>
      </c>
    </row>
    <row r="21" spans="2:61" x14ac:dyDescent="0.25">
      <c r="B21" s="7">
        <f>RANK(C21,C$8:C$29,0)</f>
        <v>14</v>
      </c>
      <c r="C21" s="38">
        <f>SUMIF($H$1:$BI$1,1,$H21:$BI21)</f>
        <v>352</v>
      </c>
      <c r="D21" s="39"/>
      <c r="E21" s="40" t="s">
        <v>69</v>
      </c>
      <c r="F21" s="41" t="s">
        <v>98</v>
      </c>
      <c r="G21" s="39"/>
      <c r="H21" s="38">
        <f>70+75+80+85+90</f>
        <v>400</v>
      </c>
      <c r="I21" s="38">
        <v>18</v>
      </c>
      <c r="J21" s="38">
        <f>VLOOKUP(I21,'Место-баллы'!$A$3:$E$52,2,0)</f>
        <v>51</v>
      </c>
      <c r="K21" s="39"/>
      <c r="L21" s="38">
        <v>5</v>
      </c>
      <c r="M21" s="38">
        <v>54</v>
      </c>
      <c r="N21" s="42">
        <f>TIME(0,L21,M21)</f>
        <v>4.0972222222222226E-3</v>
      </c>
      <c r="O21" s="38">
        <v>48</v>
      </c>
      <c r="P21" s="38">
        <f>O$2-O21</f>
        <v>0</v>
      </c>
      <c r="Q21" s="42">
        <f>N21+TIME(0,0,P21)</f>
        <v>4.0972222222222226E-3</v>
      </c>
      <c r="R21" s="38">
        <f>RANK(Q21,Q$8:Q$29,1)</f>
        <v>16</v>
      </c>
      <c r="S21" s="38">
        <f>VLOOKUP(R21,'Место-баллы'!$A$3:$E$52,2,0)</f>
        <v>55</v>
      </c>
      <c r="T21" s="39"/>
      <c r="U21" s="7"/>
      <c r="V21" s="7"/>
      <c r="W21" s="14"/>
      <c r="X21" s="7">
        <v>7</v>
      </c>
      <c r="Y21" s="7">
        <v>52</v>
      </c>
      <c r="Z21" s="14">
        <f>TIME(0,X21,Y21)</f>
        <v>5.4629629629629637E-3</v>
      </c>
      <c r="AA21" s="7">
        <v>7</v>
      </c>
      <c r="AB21" s="7">
        <f>AA$2-AA21</f>
        <v>0</v>
      </c>
      <c r="AC21" s="14">
        <f>Z21+TIME(0,0,AB21)</f>
        <v>5.4629629629629637E-3</v>
      </c>
      <c r="AD21" s="7">
        <f>RANK(AC21,AC$8:AC$29,1)</f>
        <v>15</v>
      </c>
      <c r="AE21" s="7">
        <f>VLOOKUP(AD21,'Место-баллы'!$A$3:$E$52,2,0)</f>
        <v>57</v>
      </c>
      <c r="AF21" s="39"/>
      <c r="AG21" s="38">
        <v>5</v>
      </c>
      <c r="AH21" s="38">
        <v>14</v>
      </c>
      <c r="AI21" s="42">
        <f>TIME(0,AG21,AH21)</f>
        <v>3.6342592592592594E-3</v>
      </c>
      <c r="AJ21" s="38">
        <v>90</v>
      </c>
      <c r="AK21" s="38">
        <f>AJ$2-AJ21</f>
        <v>0</v>
      </c>
      <c r="AL21" s="42">
        <f>AI21+TIME(0,0,AK21)</f>
        <v>3.6342592592592594E-3</v>
      </c>
      <c r="AM21" s="38">
        <f>RANK(AL21,AL$8:AL$29,1)</f>
        <v>13</v>
      </c>
      <c r="AN21" s="38">
        <f>VLOOKUP(AM21,'Место-баллы'!$A$3:$E$52,2,0)</f>
        <v>61</v>
      </c>
      <c r="AO21" s="39"/>
      <c r="AP21" s="38">
        <v>6</v>
      </c>
      <c r="AQ21" s="38">
        <v>10</v>
      </c>
      <c r="AR21" s="42">
        <f>TIME(0,AP21,AQ21)</f>
        <v>4.2824074074074075E-3</v>
      </c>
      <c r="AS21" s="38">
        <v>120</v>
      </c>
      <c r="AT21" s="38">
        <f>AS$2-AS21</f>
        <v>0</v>
      </c>
      <c r="AU21" s="42">
        <f>AR21+TIME(0,0,AT21)</f>
        <v>4.2824074074074075E-3</v>
      </c>
      <c r="AV21" s="38">
        <f>RANK(AU21,AU$8:AU$29,1)</f>
        <v>8</v>
      </c>
      <c r="AW21" s="38">
        <f>VLOOKUP(AV21,'Место-баллы'!$A$3:$E$52,2,0)</f>
        <v>71</v>
      </c>
      <c r="AX21" s="10"/>
      <c r="AY21" s="7">
        <v>6</v>
      </c>
      <c r="AZ21" s="7">
        <v>16</v>
      </c>
      <c r="BA21" s="14">
        <f>TIME(0,AY21,AZ21)</f>
        <v>4.3518518518518515E-3</v>
      </c>
      <c r="BB21" s="7">
        <v>9</v>
      </c>
      <c r="BC21" s="7">
        <v>5</v>
      </c>
      <c r="BD21" s="14">
        <f>TIME(0,BB21,BC21)</f>
        <v>6.3078703703703708E-3</v>
      </c>
      <c r="BE21" s="7">
        <v>5</v>
      </c>
      <c r="BF21" s="7">
        <f>BE$2-BE21</f>
        <v>1</v>
      </c>
      <c r="BG21" s="14">
        <f>BD21+TIME(0,0,BF21)</f>
        <v>6.3194444444444452E-3</v>
      </c>
      <c r="BH21" s="7">
        <v>15</v>
      </c>
      <c r="BI21" s="7">
        <f>VLOOKUP(BH21,'Место-баллы'!$A$3:$E$52,2,0)</f>
        <v>57</v>
      </c>
    </row>
    <row r="22" spans="2:61" x14ac:dyDescent="0.25">
      <c r="B22" s="7">
        <f>RANK(C22,C$8:C$29,0)</f>
        <v>15</v>
      </c>
      <c r="C22" s="7">
        <f>SUMIF($H$1:$BI$1,1,$H22:$BI22)</f>
        <v>346</v>
      </c>
      <c r="D22" s="10"/>
      <c r="E22" s="16" t="s">
        <v>56</v>
      </c>
      <c r="F22" s="13"/>
      <c r="G22" s="10"/>
      <c r="H22" s="7">
        <f>70+75+80+85+90</f>
        <v>400</v>
      </c>
      <c r="I22" s="7">
        <v>16</v>
      </c>
      <c r="J22" s="7">
        <f>VLOOKUP(I22,'Место-баллы'!$A$3:$E$52,2,0)</f>
        <v>55</v>
      </c>
      <c r="K22" s="10"/>
      <c r="L22" s="7">
        <v>6</v>
      </c>
      <c r="M22" s="7">
        <v>39</v>
      </c>
      <c r="N22" s="14">
        <f>TIME(0,L22,M22)</f>
        <v>4.6180555555555558E-3</v>
      </c>
      <c r="O22" s="7">
        <v>48</v>
      </c>
      <c r="P22" s="7">
        <f>O$2-O22</f>
        <v>0</v>
      </c>
      <c r="Q22" s="14">
        <f>N22+TIME(0,0,P22)</f>
        <v>4.6180555555555558E-3</v>
      </c>
      <c r="R22" s="7">
        <f>RANK(Q22,Q$8:Q$29,1)</f>
        <v>18</v>
      </c>
      <c r="S22" s="7">
        <f>VLOOKUP(R22,'Место-баллы'!$A$3:$E$52,2,0)</f>
        <v>51</v>
      </c>
      <c r="T22" s="10"/>
      <c r="U22" s="7"/>
      <c r="V22" s="7"/>
      <c r="W22" s="14"/>
      <c r="X22" s="7">
        <v>7</v>
      </c>
      <c r="Y22" s="7">
        <v>28</v>
      </c>
      <c r="Z22" s="14">
        <f>TIME(0,X22,Y22)</f>
        <v>5.185185185185185E-3</v>
      </c>
      <c r="AA22" s="7">
        <v>7</v>
      </c>
      <c r="AB22" s="7">
        <f>AA$2-AA22</f>
        <v>0</v>
      </c>
      <c r="AC22" s="14">
        <f>Z22+TIME(0,0,AB22)</f>
        <v>5.185185185185185E-3</v>
      </c>
      <c r="AD22" s="7">
        <f>RANK(AC22,AC$8:AC$29,1)</f>
        <v>11</v>
      </c>
      <c r="AE22" s="7">
        <f>VLOOKUP(AD22,'Место-баллы'!$A$3:$E$52,2,0)</f>
        <v>65</v>
      </c>
      <c r="AF22" s="10"/>
      <c r="AG22" s="7">
        <v>9</v>
      </c>
      <c r="AH22" s="7">
        <v>5</v>
      </c>
      <c r="AI22" s="14">
        <f>TIME(0,AG22,AH22)</f>
        <v>6.3078703703703708E-3</v>
      </c>
      <c r="AJ22" s="7">
        <v>89</v>
      </c>
      <c r="AK22" s="7">
        <f>AJ$2-AJ22</f>
        <v>1</v>
      </c>
      <c r="AL22" s="14">
        <f>AI22+TIME(0,0,AK22)</f>
        <v>6.3194444444444452E-3</v>
      </c>
      <c r="AM22" s="7">
        <f>RANK(AL22,AL$8:AL$29,1)</f>
        <v>17</v>
      </c>
      <c r="AN22" s="7">
        <f>VLOOKUP(AM22,'Место-баллы'!$A$3:$E$52,2,0)</f>
        <v>53</v>
      </c>
      <c r="AO22" s="10"/>
      <c r="AP22" s="7">
        <v>6</v>
      </c>
      <c r="AQ22" s="7">
        <v>44</v>
      </c>
      <c r="AR22" s="14">
        <f>TIME(0,AP22,AQ22)</f>
        <v>4.6759259259259263E-3</v>
      </c>
      <c r="AS22" s="7">
        <v>120</v>
      </c>
      <c r="AT22" s="7">
        <f>AS$2-AS22</f>
        <v>0</v>
      </c>
      <c r="AU22" s="14">
        <f>AR22+TIME(0,0,AT22)</f>
        <v>4.6759259259259263E-3</v>
      </c>
      <c r="AV22" s="7">
        <f>RANK(AU22,AU$8:AU$29,1)</f>
        <v>14</v>
      </c>
      <c r="AW22" s="7">
        <f>VLOOKUP(AV22,'Место-баллы'!$A$3:$E$52,2,0)</f>
        <v>59</v>
      </c>
      <c r="AX22" s="10"/>
      <c r="AY22" s="7">
        <v>5</v>
      </c>
      <c r="AZ22" s="7">
        <v>46</v>
      </c>
      <c r="BA22" s="14"/>
      <c r="BB22" s="7">
        <v>8</v>
      </c>
      <c r="BC22" s="7">
        <v>42</v>
      </c>
      <c r="BD22" s="14">
        <f>TIME(0,BB22,BC22)</f>
        <v>6.0416666666666665E-3</v>
      </c>
      <c r="BE22" s="7">
        <v>6</v>
      </c>
      <c r="BF22" s="7">
        <f>BE$2-BE22</f>
        <v>0</v>
      </c>
      <c r="BG22" s="14">
        <f>BD22+TIME(0,0,BF22)</f>
        <v>6.0416666666666665E-3</v>
      </c>
      <c r="BH22" s="7">
        <f>RANK(BG22,BG$8:BG$29,1)</f>
        <v>12</v>
      </c>
      <c r="BI22" s="7">
        <f>VLOOKUP(BH22,'Место-баллы'!$A$3:$E$52,2,0)</f>
        <v>63</v>
      </c>
    </row>
    <row r="23" spans="2:61" x14ac:dyDescent="0.25">
      <c r="B23" s="7">
        <f>RANK(C23,C$8:C$29,0)</f>
        <v>16</v>
      </c>
      <c r="C23" s="7">
        <f>SUMIF($H$1:$BI$1,1,$H23:$BI23)</f>
        <v>269</v>
      </c>
      <c r="D23" s="10"/>
      <c r="E23" s="16" t="s">
        <v>73</v>
      </c>
      <c r="F23" s="13"/>
      <c r="G23" s="10"/>
      <c r="H23" s="7">
        <f>75+80+85+90+95</f>
        <v>425</v>
      </c>
      <c r="I23" s="7">
        <v>14</v>
      </c>
      <c r="J23" s="7">
        <f>VLOOKUP(I23,'Место-баллы'!$A$3:$E$52,2,0)</f>
        <v>59</v>
      </c>
      <c r="K23" s="10"/>
      <c r="L23" s="7">
        <v>6</v>
      </c>
      <c r="M23" s="7">
        <v>11</v>
      </c>
      <c r="N23" s="14">
        <f>TIME(0,L23,M23)</f>
        <v>4.2939814814814811E-3</v>
      </c>
      <c r="O23" s="7">
        <v>48</v>
      </c>
      <c r="P23" s="7">
        <f>O$2-O23</f>
        <v>0</v>
      </c>
      <c r="Q23" s="14">
        <f>N23+TIME(0,0,P23)</f>
        <v>4.2939814814814811E-3</v>
      </c>
      <c r="R23" s="7">
        <f>RANK(Q23,Q$8:Q$29,1)</f>
        <v>17</v>
      </c>
      <c r="S23" s="7">
        <f>VLOOKUP(R23,'Место-баллы'!$A$3:$E$52,2,0)</f>
        <v>53</v>
      </c>
      <c r="T23" s="10"/>
      <c r="U23" s="7">
        <v>7</v>
      </c>
      <c r="V23" s="7">
        <v>11</v>
      </c>
      <c r="W23" s="14">
        <f>TIME(0,U23,V23)</f>
        <v>4.9884259259259265E-3</v>
      </c>
      <c r="X23" s="7">
        <v>8</v>
      </c>
      <c r="Y23" s="7">
        <v>5</v>
      </c>
      <c r="Z23" s="14">
        <f>TIME(0,X23,Y23)</f>
        <v>5.6134259259259271E-3</v>
      </c>
      <c r="AA23" s="7">
        <v>6</v>
      </c>
      <c r="AB23" s="7">
        <f>AA$2-AA23</f>
        <v>1</v>
      </c>
      <c r="AC23" s="14">
        <f>Z23+TIME(0,0,AB23)</f>
        <v>5.6250000000000015E-3</v>
      </c>
      <c r="AD23" s="7">
        <v>19</v>
      </c>
      <c r="AE23" s="7">
        <f>VLOOKUP(AD23,'Место-баллы'!$A$3:$E$52,2,0)</f>
        <v>49</v>
      </c>
      <c r="AF23" s="10"/>
      <c r="AG23" s="7">
        <v>9</v>
      </c>
      <c r="AH23" s="7">
        <v>5</v>
      </c>
      <c r="AI23" s="14">
        <f>TIME(0,AG23,AH23)</f>
        <v>6.3078703703703708E-3</v>
      </c>
      <c r="AJ23" s="7">
        <v>86</v>
      </c>
      <c r="AK23" s="7">
        <f>AJ$2-AJ23</f>
        <v>4</v>
      </c>
      <c r="AL23" s="14">
        <f>AI23+TIME(0,0,AK23)</f>
        <v>6.3541666666666668E-3</v>
      </c>
      <c r="AM23" s="7">
        <f>RANK(AL23,AL$8:AL$29,1)</f>
        <v>18</v>
      </c>
      <c r="AN23" s="7">
        <f>VLOOKUP(AM23,'Место-баллы'!$A$3:$E$52,2,0)</f>
        <v>51</v>
      </c>
      <c r="AO23" s="10"/>
      <c r="AP23" s="7">
        <v>7</v>
      </c>
      <c r="AQ23" s="7">
        <v>44</v>
      </c>
      <c r="AR23" s="14">
        <f>TIME(0,AP23,AQ23)</f>
        <v>5.37037037037037E-3</v>
      </c>
      <c r="AS23" s="7">
        <v>120</v>
      </c>
      <c r="AT23" s="7">
        <f>AS$2-AS23</f>
        <v>0</v>
      </c>
      <c r="AU23" s="14">
        <f>AR23+TIME(0,0,AT23)</f>
        <v>5.37037037037037E-3</v>
      </c>
      <c r="AV23" s="7">
        <f>RANK(AU23,AU$8:AU$29,1)</f>
        <v>15</v>
      </c>
      <c r="AW23" s="7">
        <f>VLOOKUP(AV23,'Место-баллы'!$A$3:$E$52,2,0)</f>
        <v>57</v>
      </c>
      <c r="AX23" s="10"/>
      <c r="AY23" s="31"/>
      <c r="AZ23" s="7"/>
      <c r="BA23" s="14"/>
      <c r="BB23" s="31"/>
      <c r="BC23" s="7"/>
      <c r="BD23" s="14"/>
      <c r="BE23" s="7"/>
      <c r="BF23" s="7"/>
      <c r="BG23" s="14"/>
      <c r="BH23" s="7"/>
      <c r="BI23" s="7">
        <v>0</v>
      </c>
    </row>
    <row r="24" spans="2:61" x14ac:dyDescent="0.25">
      <c r="B24" s="7">
        <f>RANK(C24,C$8:C$29,0)</f>
        <v>17</v>
      </c>
      <c r="C24" s="33">
        <f>SUMIF($H$1:$BI$1,1,$H24:$BI24)</f>
        <v>263</v>
      </c>
      <c r="D24" s="34"/>
      <c r="E24" s="35" t="s">
        <v>75</v>
      </c>
      <c r="F24" s="36" t="s">
        <v>215</v>
      </c>
      <c r="G24" s="34"/>
      <c r="H24" s="33">
        <f>75+80+85+90+95</f>
        <v>425</v>
      </c>
      <c r="I24" s="33">
        <f>RANK(H24,H$8:H$29,0)</f>
        <v>13</v>
      </c>
      <c r="J24" s="33">
        <f>VLOOKUP(I24,'Место-баллы'!$A$3:$E$52,2,0)</f>
        <v>61</v>
      </c>
      <c r="K24" s="34"/>
      <c r="L24" s="33">
        <v>5</v>
      </c>
      <c r="M24" s="33">
        <v>35</v>
      </c>
      <c r="N24" s="37">
        <f>TIME(0,L24,M24)</f>
        <v>3.8773148148148143E-3</v>
      </c>
      <c r="O24" s="33">
        <v>48</v>
      </c>
      <c r="P24" s="33">
        <f>O$2-O24</f>
        <v>0</v>
      </c>
      <c r="Q24" s="37">
        <f>N24+TIME(0,0,P24)</f>
        <v>3.8773148148148143E-3</v>
      </c>
      <c r="R24" s="33">
        <f>RANK(Q24,Q$8:Q$29,1)</f>
        <v>15</v>
      </c>
      <c r="S24" s="33">
        <f>VLOOKUP(R24,'Место-баллы'!$A$3:$E$52,2,0)</f>
        <v>57</v>
      </c>
      <c r="T24" s="34"/>
      <c r="U24" s="7"/>
      <c r="V24" s="7"/>
      <c r="W24" s="14"/>
      <c r="X24" s="7">
        <v>8</v>
      </c>
      <c r="Y24" s="7">
        <v>5</v>
      </c>
      <c r="Z24" s="14">
        <f>TIME(0,X24,Y24)</f>
        <v>5.6134259259259271E-3</v>
      </c>
      <c r="AA24" s="7">
        <v>1</v>
      </c>
      <c r="AB24" s="7">
        <f>AA$2-AA24</f>
        <v>6</v>
      </c>
      <c r="AC24" s="14">
        <f>Z24+TIME(0,0,AB24)</f>
        <v>5.6828703703703711E-3</v>
      </c>
      <c r="AD24" s="7">
        <f>RANK(AC24,AC$8:AC$29,1)</f>
        <v>21</v>
      </c>
      <c r="AE24" s="7">
        <f>VLOOKUP(AD24,'Место-баллы'!$A$3:$E$52,2,0)</f>
        <v>45</v>
      </c>
      <c r="AF24" s="34"/>
      <c r="AG24" s="33">
        <v>9</v>
      </c>
      <c r="AH24" s="33">
        <v>5</v>
      </c>
      <c r="AI24" s="37">
        <f>TIME(0,AG24,AH24)</f>
        <v>6.3078703703703708E-3</v>
      </c>
      <c r="AJ24" s="33">
        <v>81</v>
      </c>
      <c r="AK24" s="33">
        <f>AJ$2-AJ24</f>
        <v>9</v>
      </c>
      <c r="AL24" s="37">
        <f>AI24+TIME(0,0,AK24)</f>
        <v>6.4120370370370373E-3</v>
      </c>
      <c r="AM24" s="33">
        <f>RANK(AL24,AL$8:AL$29,1)</f>
        <v>19</v>
      </c>
      <c r="AN24" s="33">
        <f>VLOOKUP(AM24,'Место-баллы'!$A$3:$E$52,2,0)</f>
        <v>49</v>
      </c>
      <c r="AO24" s="34"/>
      <c r="AP24" s="33">
        <v>10</v>
      </c>
      <c r="AQ24" s="33">
        <v>5</v>
      </c>
      <c r="AR24" s="37">
        <f>TIME(0,AP24,AQ24)</f>
        <v>7.0023148148148154E-3</v>
      </c>
      <c r="AS24" s="33">
        <v>100</v>
      </c>
      <c r="AT24" s="33">
        <f>AS$2-AS24</f>
        <v>20</v>
      </c>
      <c r="AU24" s="37">
        <f>AR24+TIME(0,0,AT24)</f>
        <v>7.2337962962962972E-3</v>
      </c>
      <c r="AV24" s="33">
        <f>RANK(AU24,AU$8:AU$29,1)</f>
        <v>18</v>
      </c>
      <c r="AW24" s="33">
        <f>VLOOKUP(AV24,'Место-баллы'!$A$3:$E$52,2,0)</f>
        <v>51</v>
      </c>
      <c r="AX24" s="10"/>
      <c r="AY24" s="31"/>
      <c r="AZ24" s="7"/>
      <c r="BA24" s="14"/>
      <c r="BB24" s="31"/>
      <c r="BC24" s="7"/>
      <c r="BD24" s="14"/>
      <c r="BE24" s="7"/>
      <c r="BF24" s="7"/>
      <c r="BG24" s="14"/>
      <c r="BH24" s="7"/>
      <c r="BI24" s="7">
        <v>0</v>
      </c>
    </row>
    <row r="25" spans="2:61" x14ac:dyDescent="0.25">
      <c r="B25" s="7">
        <f>RANK(C25,C$8:C$29,0)</f>
        <v>18</v>
      </c>
      <c r="C25" s="7">
        <f>SUMIF($H$1:$BI$1,1,$H25:$BI25)</f>
        <v>257</v>
      </c>
      <c r="D25" s="10"/>
      <c r="E25" s="16" t="s">
        <v>66</v>
      </c>
      <c r="F25" s="13" t="s">
        <v>98</v>
      </c>
      <c r="G25" s="10"/>
      <c r="H25" s="7">
        <f>70+75+80+85</f>
        <v>310</v>
      </c>
      <c r="I25" s="7">
        <v>21</v>
      </c>
      <c r="J25" s="7">
        <f>VLOOKUP(I25,'Место-баллы'!$A$3:$E$52,2,0)</f>
        <v>45</v>
      </c>
      <c r="K25" s="10"/>
      <c r="L25" s="7">
        <v>7</v>
      </c>
      <c r="M25" s="7">
        <v>5</v>
      </c>
      <c r="N25" s="14">
        <f>TIME(0,L25,M25)</f>
        <v>4.9189814814814816E-3</v>
      </c>
      <c r="O25" s="7">
        <v>42</v>
      </c>
      <c r="P25" s="7">
        <f>O$2-O25</f>
        <v>6</v>
      </c>
      <c r="Q25" s="14">
        <f>N25+TIME(0,0,P25)</f>
        <v>4.9884259259259257E-3</v>
      </c>
      <c r="R25" s="7">
        <f>RANK(Q25,Q$8:Q$29,1)</f>
        <v>20</v>
      </c>
      <c r="S25" s="7">
        <f>VLOOKUP(R25,'Место-баллы'!$A$3:$E$52,2,0)</f>
        <v>47</v>
      </c>
      <c r="T25" s="10"/>
      <c r="U25" s="7">
        <v>6</v>
      </c>
      <c r="V25" s="7">
        <v>27</v>
      </c>
      <c r="W25" s="14">
        <f>TIME(0,U25,V25)</f>
        <v>4.4791666666666669E-3</v>
      </c>
      <c r="X25" s="7">
        <v>8</v>
      </c>
      <c r="Y25" s="7">
        <v>5</v>
      </c>
      <c r="Z25" s="14">
        <f>TIME(0,X25,Y25)</f>
        <v>5.6134259259259271E-3</v>
      </c>
      <c r="AA25" s="7">
        <v>6</v>
      </c>
      <c r="AB25" s="7">
        <f>AA$2-AA25</f>
        <v>1</v>
      </c>
      <c r="AC25" s="14">
        <f>Z25+TIME(0,0,AB25)</f>
        <v>5.6250000000000015E-3</v>
      </c>
      <c r="AD25" s="7">
        <v>17</v>
      </c>
      <c r="AE25" s="7">
        <f>VLOOKUP(AD25,'Место-баллы'!$A$3:$E$52,2,0)</f>
        <v>53</v>
      </c>
      <c r="AF25" s="10"/>
      <c r="AG25" s="7">
        <v>5</v>
      </c>
      <c r="AH25" s="7">
        <v>16</v>
      </c>
      <c r="AI25" s="14">
        <f>TIME(0,AG25,AH25)</f>
        <v>3.6574074074074074E-3</v>
      </c>
      <c r="AJ25" s="7">
        <v>90</v>
      </c>
      <c r="AK25" s="7">
        <f>AJ$2-AJ25</f>
        <v>0</v>
      </c>
      <c r="AL25" s="14">
        <f>AI25+TIME(0,0,AK25)</f>
        <v>3.6574074074074074E-3</v>
      </c>
      <c r="AM25" s="7">
        <f>RANK(AL25,AL$8:AL$29,1)</f>
        <v>14</v>
      </c>
      <c r="AN25" s="7">
        <f>VLOOKUP(AM25,'Место-баллы'!$A$3:$E$52,2,0)</f>
        <v>59</v>
      </c>
      <c r="AO25" s="10"/>
      <c r="AP25" s="7">
        <v>8</v>
      </c>
      <c r="AQ25" s="7">
        <v>7</v>
      </c>
      <c r="AR25" s="14">
        <f>TIME(0,AP25,AQ25)</f>
        <v>5.6365740740740742E-3</v>
      </c>
      <c r="AS25" s="7">
        <v>120</v>
      </c>
      <c r="AT25" s="7">
        <f>AS$2-AS25</f>
        <v>0</v>
      </c>
      <c r="AU25" s="14">
        <f>AR25+TIME(0,0,AT25)</f>
        <v>5.6365740740740742E-3</v>
      </c>
      <c r="AV25" s="7">
        <f>RANK(AU25,AU$8:AU$29,1)</f>
        <v>17</v>
      </c>
      <c r="AW25" s="7">
        <f>VLOOKUP(AV25,'Место-баллы'!$A$3:$E$52,2,0)</f>
        <v>53</v>
      </c>
      <c r="AX25" s="10"/>
      <c r="AY25" s="31"/>
      <c r="AZ25" s="7"/>
      <c r="BA25" s="14"/>
      <c r="BB25" s="31"/>
      <c r="BC25" s="7"/>
      <c r="BD25" s="14"/>
      <c r="BE25" s="7"/>
      <c r="BF25" s="7"/>
      <c r="BG25" s="14"/>
      <c r="BH25" s="7"/>
      <c r="BI25" s="7">
        <v>0</v>
      </c>
    </row>
    <row r="26" spans="2:61" x14ac:dyDescent="0.25">
      <c r="B26" s="7">
        <f>RANK(C26,C$8:C$29,0)</f>
        <v>19</v>
      </c>
      <c r="C26" s="7">
        <f>SUMIF($H$1:$BI$1,1,$H26:$BI26)</f>
        <v>244</v>
      </c>
      <c r="D26" s="10"/>
      <c r="E26" s="16" t="s">
        <v>71</v>
      </c>
      <c r="F26" s="13" t="s">
        <v>98</v>
      </c>
      <c r="G26" s="10"/>
      <c r="H26" s="7">
        <f>85+90+95+100+105</f>
        <v>475</v>
      </c>
      <c r="I26" s="7">
        <f>RANK(H26,H$8:H$29,0)</f>
        <v>9</v>
      </c>
      <c r="J26" s="7">
        <f>VLOOKUP(I26,'Место-баллы'!$A$3:$E$52,2,0)</f>
        <v>69</v>
      </c>
      <c r="K26" s="10"/>
      <c r="L26" s="7">
        <v>5</v>
      </c>
      <c r="M26" s="7">
        <v>34</v>
      </c>
      <c r="N26" s="14">
        <f>TIME(0,L26,M26)</f>
        <v>3.8657407407407408E-3</v>
      </c>
      <c r="O26" s="7">
        <v>48</v>
      </c>
      <c r="P26" s="7">
        <f>O$2-O26</f>
        <v>0</v>
      </c>
      <c r="Q26" s="14">
        <f>N26+TIME(0,0,P26)</f>
        <v>3.8657407407407408E-3</v>
      </c>
      <c r="R26" s="7">
        <f>RANK(Q26,Q$8:Q$29,1)</f>
        <v>14</v>
      </c>
      <c r="S26" s="7">
        <f>VLOOKUP(R26,'Место-баллы'!$A$3:$E$52,2,0)</f>
        <v>59</v>
      </c>
      <c r="T26" s="10"/>
      <c r="U26" s="7"/>
      <c r="V26" s="7"/>
      <c r="W26" s="14"/>
      <c r="X26" s="7">
        <v>7</v>
      </c>
      <c r="Y26" s="7">
        <v>49</v>
      </c>
      <c r="Z26" s="14">
        <f>TIME(0,X26,Y26)</f>
        <v>5.4282407407407404E-3</v>
      </c>
      <c r="AA26" s="7">
        <v>7</v>
      </c>
      <c r="AB26" s="7">
        <f>AA$2-AA26</f>
        <v>0</v>
      </c>
      <c r="AC26" s="14">
        <f>Z26+TIME(0,0,AB26)</f>
        <v>5.4282407407407404E-3</v>
      </c>
      <c r="AD26" s="7">
        <f>RANK(AC26,AC$8:AC$29,1)</f>
        <v>14</v>
      </c>
      <c r="AE26" s="7">
        <f>VLOOKUP(AD26,'Место-баллы'!$A$3:$E$52,2,0)</f>
        <v>59</v>
      </c>
      <c r="AF26" s="10"/>
      <c r="AG26" s="7">
        <v>5</v>
      </c>
      <c r="AH26" s="7">
        <v>18</v>
      </c>
      <c r="AI26" s="14">
        <f>TIME(0,AG26,AH26)</f>
        <v>3.6805555555555554E-3</v>
      </c>
      <c r="AJ26" s="7">
        <v>90</v>
      </c>
      <c r="AK26" s="7">
        <f>AJ$2-AJ26</f>
        <v>0</v>
      </c>
      <c r="AL26" s="14">
        <f>AI26+TIME(0,0,AK26)</f>
        <v>3.6805555555555554E-3</v>
      </c>
      <c r="AM26" s="7">
        <f>RANK(AL26,AL$8:AL$29,1)</f>
        <v>15</v>
      </c>
      <c r="AN26" s="7">
        <f>VLOOKUP(AM26,'Место-баллы'!$A$3:$E$52,2,0)</f>
        <v>57</v>
      </c>
      <c r="AO26" s="10"/>
      <c r="AP26" s="7"/>
      <c r="AQ26" s="7"/>
      <c r="AR26" s="14"/>
      <c r="AS26" s="7"/>
      <c r="AT26" s="7"/>
      <c r="AU26" s="14"/>
      <c r="AV26" s="7"/>
      <c r="AW26" s="7">
        <v>0</v>
      </c>
      <c r="AX26" s="10"/>
      <c r="AY26" s="31"/>
      <c r="AZ26" s="7"/>
      <c r="BA26" s="14"/>
      <c r="BB26" s="7"/>
      <c r="BC26" s="7"/>
      <c r="BD26" s="14"/>
      <c r="BE26" s="7"/>
      <c r="BF26" s="7"/>
      <c r="BG26" s="14"/>
      <c r="BH26" s="7"/>
      <c r="BI26" s="7">
        <v>0</v>
      </c>
    </row>
    <row r="27" spans="2:61" x14ac:dyDescent="0.25">
      <c r="B27" s="7">
        <f>RANK(C27,C$8:C$29,0)</f>
        <v>20</v>
      </c>
      <c r="C27" s="7">
        <f>SUMIF($H$1:$BI$1,1,$H27:$BI27)</f>
        <v>155</v>
      </c>
      <c r="D27" s="10"/>
      <c r="E27" s="16" t="s">
        <v>76</v>
      </c>
      <c r="F27" s="13" t="s">
        <v>98</v>
      </c>
      <c r="G27" s="10"/>
      <c r="H27" s="7">
        <f>70+75+80+85+90</f>
        <v>400</v>
      </c>
      <c r="I27" s="7">
        <v>17</v>
      </c>
      <c r="J27" s="7">
        <f>VLOOKUP(I27,'Место-баллы'!$A$3:$E$52,2,0)</f>
        <v>53</v>
      </c>
      <c r="K27" s="10"/>
      <c r="L27" s="7">
        <v>7</v>
      </c>
      <c r="M27" s="7">
        <v>5</v>
      </c>
      <c r="N27" s="14">
        <f>TIME(0,L27,M27)</f>
        <v>4.9189814814814816E-3</v>
      </c>
      <c r="O27" s="7">
        <v>44</v>
      </c>
      <c r="P27" s="7">
        <f>O$2-O27</f>
        <v>4</v>
      </c>
      <c r="Q27" s="14">
        <f>N27+TIME(0,0,P27)</f>
        <v>4.9652777777777777E-3</v>
      </c>
      <c r="R27" s="7">
        <f>RANK(Q27,Q$8:Q$29,1)</f>
        <v>19</v>
      </c>
      <c r="S27" s="7">
        <f>VLOOKUP(R27,'Место-баллы'!$A$3:$E$52,2,0)</f>
        <v>49</v>
      </c>
      <c r="T27" s="10"/>
      <c r="U27" s="7">
        <v>6</v>
      </c>
      <c r="V27" s="7">
        <v>27</v>
      </c>
      <c r="W27" s="14">
        <f>TIME(0,U27,V27)</f>
        <v>4.4791666666666669E-3</v>
      </c>
      <c r="X27" s="7">
        <v>8</v>
      </c>
      <c r="Y27" s="7">
        <v>5</v>
      </c>
      <c r="Z27" s="14">
        <f>TIME(0,X27,Y27)</f>
        <v>5.6134259259259271E-3</v>
      </c>
      <c r="AA27" s="7">
        <v>6</v>
      </c>
      <c r="AB27" s="7">
        <f>AA$2-AA27</f>
        <v>1</v>
      </c>
      <c r="AC27" s="14">
        <f>Z27+TIME(0,0,AB27)</f>
        <v>5.6250000000000015E-3</v>
      </c>
      <c r="AD27" s="7">
        <v>17</v>
      </c>
      <c r="AE27" s="7">
        <f>VLOOKUP(AD27,'Место-баллы'!$A$3:$E$52,2,0)</f>
        <v>53</v>
      </c>
      <c r="AF27" s="10"/>
      <c r="AG27" s="7"/>
      <c r="AH27" s="7"/>
      <c r="AI27" s="14"/>
      <c r="AJ27" s="7"/>
      <c r="AK27" s="7"/>
      <c r="AL27" s="14"/>
      <c r="AM27" s="7"/>
      <c r="AN27" s="7">
        <v>0</v>
      </c>
      <c r="AO27" s="10"/>
      <c r="AP27" s="7"/>
      <c r="AQ27" s="7"/>
      <c r="AR27" s="14"/>
      <c r="AS27" s="7"/>
      <c r="AT27" s="7"/>
      <c r="AU27" s="14"/>
      <c r="AV27" s="7"/>
      <c r="AW27" s="7">
        <v>0</v>
      </c>
      <c r="AX27" s="10"/>
      <c r="AY27" s="7"/>
      <c r="AZ27" s="7"/>
      <c r="BA27" s="14"/>
      <c r="BB27" s="7"/>
      <c r="BC27" s="7"/>
      <c r="BD27" s="14"/>
      <c r="BE27" s="7"/>
      <c r="BF27" s="7"/>
      <c r="BG27" s="14"/>
      <c r="BH27" s="7"/>
      <c r="BI27" s="7">
        <v>0</v>
      </c>
    </row>
    <row r="28" spans="2:61" x14ac:dyDescent="0.25">
      <c r="B28" s="7">
        <f>RANK(C28,C$8:C$29,0)</f>
        <v>21</v>
      </c>
      <c r="C28" s="7">
        <f>SUMIF($H$1:$BI$1,1,$H28:$BI28)</f>
        <v>139</v>
      </c>
      <c r="D28" s="10"/>
      <c r="E28" s="16" t="s">
        <v>58</v>
      </c>
      <c r="F28" s="13"/>
      <c r="G28" s="10"/>
      <c r="H28" s="7">
        <f>70+75+80+85</f>
        <v>310</v>
      </c>
      <c r="I28" s="7">
        <f>RANK(H28,H$8:H$29,0)</f>
        <v>20</v>
      </c>
      <c r="J28" s="7">
        <f>VLOOKUP(I28,'Место-баллы'!$A$3:$E$52,2,0)</f>
        <v>47</v>
      </c>
      <c r="K28" s="10"/>
      <c r="L28" s="7">
        <v>7</v>
      </c>
      <c r="M28" s="7">
        <v>5</v>
      </c>
      <c r="N28" s="14">
        <f>TIME(0,L28,M28)</f>
        <v>4.9189814814814816E-3</v>
      </c>
      <c r="O28" s="7">
        <v>29</v>
      </c>
      <c r="P28" s="7">
        <f>O$2-O28</f>
        <v>19</v>
      </c>
      <c r="Q28" s="14">
        <f>N28+TIME(0,0,P28)</f>
        <v>5.138888888888889E-3</v>
      </c>
      <c r="R28" s="7">
        <f>RANK(Q28,Q$8:Q$29,1)</f>
        <v>21</v>
      </c>
      <c r="S28" s="7">
        <f>VLOOKUP(R28,'Место-баллы'!$A$3:$E$52,2,0)</f>
        <v>45</v>
      </c>
      <c r="T28" s="10"/>
      <c r="U28" s="7">
        <v>7</v>
      </c>
      <c r="V28" s="7">
        <v>18</v>
      </c>
      <c r="W28" s="14">
        <f>TIME(0,U28,V28)</f>
        <v>5.0694444444444441E-3</v>
      </c>
      <c r="X28" s="7">
        <v>8</v>
      </c>
      <c r="Y28" s="7">
        <v>5</v>
      </c>
      <c r="Z28" s="14">
        <f>TIME(0,X28,Y28)</f>
        <v>5.6134259259259271E-3</v>
      </c>
      <c r="AA28" s="7">
        <v>6</v>
      </c>
      <c r="AB28" s="7">
        <f>AA$2-AA28</f>
        <v>1</v>
      </c>
      <c r="AC28" s="14">
        <f>Z28+TIME(0,0,AB28)</f>
        <v>5.6250000000000015E-3</v>
      </c>
      <c r="AD28" s="7">
        <v>20</v>
      </c>
      <c r="AE28" s="7">
        <f>VLOOKUP(AD28,'Место-баллы'!$A$3:$E$52,2,0)</f>
        <v>47</v>
      </c>
      <c r="AF28" s="10"/>
      <c r="AG28" s="7"/>
      <c r="AH28" s="7"/>
      <c r="AI28" s="14"/>
      <c r="AJ28" s="7"/>
      <c r="AK28" s="7"/>
      <c r="AL28" s="14"/>
      <c r="AM28" s="7"/>
      <c r="AN28" s="7">
        <v>0</v>
      </c>
      <c r="AO28" s="10"/>
      <c r="AP28" s="7"/>
      <c r="AQ28" s="7"/>
      <c r="AR28" s="14"/>
      <c r="AS28" s="7"/>
      <c r="AT28" s="7"/>
      <c r="AU28" s="14"/>
      <c r="AV28" s="7"/>
      <c r="AW28" s="7">
        <v>0</v>
      </c>
      <c r="AX28" s="10"/>
      <c r="AY28" s="7"/>
      <c r="AZ28" s="7"/>
      <c r="BA28" s="14"/>
      <c r="BB28" s="7"/>
      <c r="BC28" s="7"/>
      <c r="BD28" s="14"/>
      <c r="BE28" s="7"/>
      <c r="BF28" s="7"/>
      <c r="BG28" s="14"/>
      <c r="BH28" s="7"/>
      <c r="BI28" s="7">
        <v>0</v>
      </c>
    </row>
    <row r="29" spans="2:61" x14ac:dyDescent="0.25">
      <c r="B29" s="7">
        <f>RANK(C29,C$8:C$29,0)</f>
        <v>22</v>
      </c>
      <c r="C29" s="7">
        <f>SUMIF($H$1:$BI$1,1,$H29:$BI29)</f>
        <v>131</v>
      </c>
      <c r="D29" s="10"/>
      <c r="E29" s="16" t="s">
        <v>55</v>
      </c>
      <c r="F29" s="13"/>
      <c r="G29" s="10"/>
      <c r="H29" s="7">
        <v>70</v>
      </c>
      <c r="I29" s="7">
        <f>RANK(H29,H$8:H$29,0)</f>
        <v>22</v>
      </c>
      <c r="J29" s="7">
        <f>VLOOKUP(I29,'Место-баллы'!$A$3:$E$52,2,0)</f>
        <v>43</v>
      </c>
      <c r="K29" s="10"/>
      <c r="L29" s="7">
        <v>7</v>
      </c>
      <c r="M29" s="7">
        <v>5</v>
      </c>
      <c r="N29" s="14">
        <f>TIME(0,L29,M29)</f>
        <v>4.9189814814814816E-3</v>
      </c>
      <c r="O29" s="7">
        <v>3</v>
      </c>
      <c r="P29" s="7">
        <f>O$2-O29</f>
        <v>45</v>
      </c>
      <c r="Q29" s="14">
        <f>N29+TIME(0,0,P29)</f>
        <v>5.4398148148148149E-3</v>
      </c>
      <c r="R29" s="7">
        <f>RANK(Q29,Q$8:Q$29,1)</f>
        <v>22</v>
      </c>
      <c r="S29" s="7">
        <f>VLOOKUP(R29,'Место-баллы'!$A$3:$E$52,2,0)</f>
        <v>43</v>
      </c>
      <c r="T29" s="10"/>
      <c r="U29" s="7"/>
      <c r="V29" s="7"/>
      <c r="W29" s="14"/>
      <c r="X29" s="7">
        <v>8</v>
      </c>
      <c r="Y29" s="7">
        <v>5</v>
      </c>
      <c r="Z29" s="14">
        <f>TIME(0,X29,Y29)</f>
        <v>5.6134259259259271E-3</v>
      </c>
      <c r="AA29" s="7">
        <v>1</v>
      </c>
      <c r="AB29" s="7">
        <f>AA$2-AA29</f>
        <v>6</v>
      </c>
      <c r="AC29" s="14">
        <f>Z29+TIME(0,0,AB29)</f>
        <v>5.6828703703703711E-3</v>
      </c>
      <c r="AD29" s="7">
        <f>RANK(AC29,AC$8:AC$29,1)</f>
        <v>21</v>
      </c>
      <c r="AE29" s="7">
        <f>VLOOKUP(AD29,'Место-баллы'!$A$3:$E$52,2,0)</f>
        <v>45</v>
      </c>
      <c r="AF29" s="10"/>
      <c r="AG29" s="7"/>
      <c r="AH29" s="7"/>
      <c r="AI29" s="14"/>
      <c r="AJ29" s="7"/>
      <c r="AK29" s="7"/>
      <c r="AL29" s="14"/>
      <c r="AM29" s="7"/>
      <c r="AN29" s="7">
        <v>0</v>
      </c>
      <c r="AO29" s="10"/>
      <c r="AP29" s="7"/>
      <c r="AQ29" s="7"/>
      <c r="AR29" s="14"/>
      <c r="AS29" s="7"/>
      <c r="AT29" s="7"/>
      <c r="AU29" s="14"/>
      <c r="AV29" s="7"/>
      <c r="AW29" s="7">
        <v>0</v>
      </c>
      <c r="AX29" s="10"/>
      <c r="AY29" s="31"/>
      <c r="AZ29" s="7"/>
      <c r="BA29" s="14"/>
      <c r="BB29" s="7"/>
      <c r="BC29" s="7"/>
      <c r="BD29" s="14"/>
      <c r="BE29" s="7"/>
      <c r="BF29" s="7"/>
      <c r="BG29" s="14"/>
      <c r="BH29" s="7"/>
      <c r="BI29" s="7">
        <v>0</v>
      </c>
    </row>
    <row r="30" spans="2:61" ht="15.75" customHeight="1" x14ac:dyDescent="0.25"/>
    <row r="31" spans="2:61" ht="15.75" customHeight="1" x14ac:dyDescent="0.25"/>
    <row r="32" spans="2:6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</sheetData>
  <autoFilter ref="B7:BI7" xr:uid="{88B5D970-D7FF-4915-BFB3-77C98A0A9973}">
    <sortState xmlns:xlrd2="http://schemas.microsoft.com/office/spreadsheetml/2017/richdata2" ref="B8:BI29">
      <sortCondition ref="B7"/>
    </sortState>
  </autoFilter>
  <mergeCells count="8">
    <mergeCell ref="AY5:BI6"/>
    <mergeCell ref="U5:AE6"/>
    <mergeCell ref="AP5:AW6"/>
    <mergeCell ref="B5:C6"/>
    <mergeCell ref="H5:J6"/>
    <mergeCell ref="L5:S6"/>
    <mergeCell ref="AG5:AN6"/>
    <mergeCell ref="E5:F6"/>
  </mergeCells>
  <printOptions horizontalCentered="1" verticalCentered="1"/>
  <pageMargins left="0" right="0" top="0" bottom="0" header="0" footer="0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F8597-732F-46D5-B595-65ABB48E3B6A}">
  <sheetPr>
    <pageSetUpPr fitToPage="1"/>
  </sheetPr>
  <dimension ref="B1:AN40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M17" sqref="AM17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8" bestFit="1" customWidth="1"/>
    <col min="6" max="6" width="20.710937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hidden="1" customWidth="1" outlineLevel="1"/>
    <col min="15" max="15" width="6.85546875" customWidth="1" collapsed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customWidth="1" collapsed="1"/>
    <col min="24" max="24" width="6.85546875" customWidth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9.140625" hidden="1" customWidth="1" outlineLevel="1"/>
    <col min="33" max="33" width="5.140625" hidden="1" customWidth="1" outlineLevel="1"/>
    <col min="34" max="34" width="4.28515625" hidden="1" customWidth="1" outlineLevel="1"/>
    <col min="35" max="35" width="7.140625" hidden="1" customWidth="1" outlineLevel="1"/>
    <col min="36" max="36" width="6.85546875" customWidth="1" collapsed="1"/>
    <col min="37" max="37" width="7.85546875" hidden="1" customWidth="1" outlineLevel="1"/>
    <col min="38" max="38" width="7.140625" hidden="1" customWidth="1" outlineLevel="1"/>
    <col min="39" max="39" width="7.140625" customWidth="1" collapsed="1"/>
    <col min="40" max="40" width="6.85546875" customWidth="1"/>
  </cols>
  <sheetData>
    <row r="1" spans="2:40" x14ac:dyDescent="0.25">
      <c r="E1" s="12"/>
      <c r="F1" s="12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U1" s="3"/>
      <c r="V1" s="3"/>
      <c r="W1" s="3"/>
      <c r="X1" s="3"/>
      <c r="Y1" s="3"/>
      <c r="Z1" s="3"/>
      <c r="AA1" s="3"/>
      <c r="AB1" s="4">
        <v>1</v>
      </c>
      <c r="AG1" s="3"/>
      <c r="AH1" s="3"/>
      <c r="AI1" s="3"/>
      <c r="AJ1" s="3"/>
      <c r="AK1" s="3"/>
      <c r="AL1" s="3"/>
      <c r="AM1" s="3"/>
      <c r="AN1" s="4">
        <v>1</v>
      </c>
    </row>
    <row r="2" spans="2:40" x14ac:dyDescent="0.25">
      <c r="E2" s="12"/>
      <c r="F2" s="12"/>
      <c r="H2" s="3"/>
      <c r="I2" s="3"/>
      <c r="J2" s="3"/>
      <c r="L2" s="3"/>
      <c r="M2" s="3"/>
      <c r="N2" s="3"/>
      <c r="O2" s="5">
        <v>814</v>
      </c>
      <c r="P2" s="3"/>
      <c r="Q2" s="3"/>
      <c r="R2" s="3"/>
      <c r="S2" s="3"/>
      <c r="U2" s="3"/>
      <c r="V2" s="3"/>
      <c r="W2" s="3"/>
      <c r="X2" s="5">
        <v>112</v>
      </c>
      <c r="Y2" s="3"/>
      <c r="Z2" s="3"/>
      <c r="AA2" s="3"/>
      <c r="AB2" s="3"/>
      <c r="AG2" s="3"/>
      <c r="AH2" s="3"/>
      <c r="AI2" s="3"/>
      <c r="AJ2" s="5">
        <v>200</v>
      </c>
      <c r="AK2" s="3"/>
      <c r="AL2" s="3"/>
      <c r="AM2" s="3"/>
      <c r="AN2" s="3"/>
    </row>
    <row r="3" spans="2:40" x14ac:dyDescent="0.25">
      <c r="E3" s="12"/>
      <c r="F3" s="12"/>
      <c r="H3" s="6"/>
      <c r="I3" s="3"/>
      <c r="J3" s="3"/>
      <c r="L3" s="3"/>
      <c r="M3" s="3"/>
      <c r="N3" s="3"/>
      <c r="O3" s="6" t="s">
        <v>47</v>
      </c>
      <c r="P3" s="3"/>
      <c r="Q3" s="3"/>
      <c r="R3" s="3"/>
      <c r="S3" s="3"/>
      <c r="U3" s="3"/>
      <c r="V3" s="3"/>
      <c r="W3" s="3"/>
      <c r="X3" s="6" t="s">
        <v>24</v>
      </c>
      <c r="Y3" s="3"/>
      <c r="Z3" s="3"/>
      <c r="AA3" s="3"/>
      <c r="AB3" s="3"/>
      <c r="AG3" s="3"/>
      <c r="AH3" s="3"/>
      <c r="AI3" s="3"/>
      <c r="AJ3" s="17" t="s">
        <v>221</v>
      </c>
      <c r="AK3" s="3"/>
      <c r="AL3" s="3"/>
      <c r="AM3" s="3"/>
      <c r="AN3" s="3"/>
    </row>
    <row r="4" spans="2:40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G4" s="3"/>
      <c r="AH4" s="3"/>
      <c r="AI4" s="3"/>
      <c r="AJ4" s="3"/>
      <c r="AK4" s="3"/>
      <c r="AL4" s="3"/>
      <c r="AM4" s="3"/>
      <c r="AN4" s="3"/>
    </row>
    <row r="5" spans="2:40" ht="15" customHeight="1" x14ac:dyDescent="0.25">
      <c r="B5" s="23" t="s">
        <v>4</v>
      </c>
      <c r="C5" s="24"/>
      <c r="D5" s="7"/>
      <c r="E5" s="25" t="s">
        <v>30</v>
      </c>
      <c r="F5" s="26"/>
      <c r="G5" s="7"/>
      <c r="H5" s="25" t="s">
        <v>22</v>
      </c>
      <c r="I5" s="29"/>
      <c r="J5" s="26"/>
      <c r="K5" s="7"/>
      <c r="L5" s="23" t="s">
        <v>23</v>
      </c>
      <c r="M5" s="24"/>
      <c r="N5" s="24"/>
      <c r="O5" s="24"/>
      <c r="P5" s="24"/>
      <c r="Q5" s="24"/>
      <c r="R5" s="24"/>
      <c r="S5" s="24"/>
      <c r="T5" s="7"/>
      <c r="U5" s="23" t="s">
        <v>5</v>
      </c>
      <c r="V5" s="24"/>
      <c r="W5" s="24"/>
      <c r="X5" s="24"/>
      <c r="Y5" s="24"/>
      <c r="Z5" s="24"/>
      <c r="AA5" s="24"/>
      <c r="AB5" s="24"/>
      <c r="AC5" s="7"/>
      <c r="AD5" s="25" t="s">
        <v>6</v>
      </c>
      <c r="AE5" s="29"/>
      <c r="AF5" s="29"/>
      <c r="AG5" s="29"/>
      <c r="AH5" s="29"/>
      <c r="AI5" s="29"/>
      <c r="AJ5" s="29"/>
      <c r="AK5" s="29"/>
      <c r="AL5" s="29"/>
      <c r="AM5" s="29"/>
      <c r="AN5" s="26"/>
    </row>
    <row r="6" spans="2:40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4"/>
      <c r="M6" s="24"/>
      <c r="N6" s="24"/>
      <c r="O6" s="24"/>
      <c r="P6" s="24"/>
      <c r="Q6" s="24"/>
      <c r="R6" s="24"/>
      <c r="S6" s="24"/>
      <c r="T6" s="8"/>
      <c r="U6" s="24"/>
      <c r="V6" s="24"/>
      <c r="W6" s="24"/>
      <c r="X6" s="24"/>
      <c r="Y6" s="24"/>
      <c r="Z6" s="24"/>
      <c r="AA6" s="24"/>
      <c r="AB6" s="24"/>
      <c r="AC6" s="8"/>
      <c r="AD6" s="27"/>
      <c r="AE6" s="30"/>
      <c r="AF6" s="30"/>
      <c r="AG6" s="30"/>
      <c r="AH6" s="30"/>
      <c r="AI6" s="30"/>
      <c r="AJ6" s="30"/>
      <c r="AK6" s="30"/>
      <c r="AL6" s="30"/>
      <c r="AM6" s="30"/>
      <c r="AN6" s="28"/>
    </row>
    <row r="7" spans="2:40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8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27</v>
      </c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</row>
    <row r="8" spans="2:40" x14ac:dyDescent="0.25">
      <c r="B8" s="7">
        <f>RANK(C8,C$8:C$11,0)</f>
        <v>1</v>
      </c>
      <c r="C8" s="7">
        <f>SUMIF($H$1:$AN$1,1,$H8:$AN8)</f>
        <v>380</v>
      </c>
      <c r="D8" s="10"/>
      <c r="E8" s="16" t="s">
        <v>135</v>
      </c>
      <c r="F8" s="13" t="s">
        <v>218</v>
      </c>
      <c r="G8" s="10"/>
      <c r="H8" s="7">
        <v>71</v>
      </c>
      <c r="I8" s="7">
        <f>RANK(H8,H$8:H$11,0)</f>
        <v>1</v>
      </c>
      <c r="J8" s="7">
        <f>VLOOKUP(I8,'Место-баллы'!$A$3:$E$52,2,0)</f>
        <v>100</v>
      </c>
      <c r="K8" s="10"/>
      <c r="L8" s="7">
        <v>8</v>
      </c>
      <c r="M8" s="7">
        <v>5</v>
      </c>
      <c r="N8" s="14">
        <f>TIME(0,L8,M8)</f>
        <v>5.6134259259259271E-3</v>
      </c>
      <c r="O8" s="7">
        <f>431</f>
        <v>431</v>
      </c>
      <c r="P8" s="7">
        <f>O$2-O8</f>
        <v>383</v>
      </c>
      <c r="Q8" s="14">
        <f>N8+TIME(0,0,P8)</f>
        <v>1.0046296296296298E-2</v>
      </c>
      <c r="R8" s="7">
        <f>RANK(Q8,Q$8:Q$11,1)</f>
        <v>3</v>
      </c>
      <c r="S8" s="7">
        <f>VLOOKUP(R8,'Место-баллы'!$A$3:$E$52,2,0)</f>
        <v>90</v>
      </c>
      <c r="T8" s="10"/>
      <c r="U8" s="7">
        <v>11</v>
      </c>
      <c r="V8" s="7">
        <v>40</v>
      </c>
      <c r="W8" s="14">
        <f>TIME(0,U8,V8)</f>
        <v>8.1018518518518514E-3</v>
      </c>
      <c r="X8" s="7">
        <v>112</v>
      </c>
      <c r="Y8" s="7">
        <f>X$2-X8</f>
        <v>0</v>
      </c>
      <c r="Z8" s="14">
        <f>W8+TIME(0,0,Y8)</f>
        <v>8.1018518518518514E-3</v>
      </c>
      <c r="AA8" s="7">
        <f>RANK(Z8,Z$8:Z$11,1)</f>
        <v>1</v>
      </c>
      <c r="AB8" s="7">
        <f>VLOOKUP(AA8,'Место-баллы'!$A$3:$E$52,2,0)</f>
        <v>100</v>
      </c>
      <c r="AC8" s="10"/>
      <c r="AD8" s="7">
        <v>5</v>
      </c>
      <c r="AE8" s="7">
        <v>38</v>
      </c>
      <c r="AF8" s="14">
        <f>TIME(0,AD8,AE8)</f>
        <v>3.9120370370370368E-3</v>
      </c>
      <c r="AG8" s="7">
        <v>11</v>
      </c>
      <c r="AH8" s="7">
        <v>5</v>
      </c>
      <c r="AI8" s="14">
        <f>TIME(0,AG8,AH8)</f>
        <v>7.69675925925926E-3</v>
      </c>
      <c r="AJ8" s="7">
        <v>175</v>
      </c>
      <c r="AK8" s="7">
        <f>AJ$2-AJ8</f>
        <v>25</v>
      </c>
      <c r="AL8" s="14">
        <f>AI8+TIME(0,0,AK8)</f>
        <v>7.9861111111111122E-3</v>
      </c>
      <c r="AM8" s="7">
        <f>RANK(AL8,AL$8:AL$11,1)</f>
        <v>3</v>
      </c>
      <c r="AN8" s="7">
        <f>VLOOKUP(AM8,'Место-баллы'!$A$3:$E$52,2,0)</f>
        <v>90</v>
      </c>
    </row>
    <row r="9" spans="2:40" x14ac:dyDescent="0.25">
      <c r="B9" s="7">
        <v>2</v>
      </c>
      <c r="C9" s="7">
        <f>SUMIF($H$1:$AN$1,1,$H9:$AN9)</f>
        <v>380</v>
      </c>
      <c r="D9" s="10"/>
      <c r="E9" s="16" t="s">
        <v>134</v>
      </c>
      <c r="F9" s="13"/>
      <c r="G9" s="10"/>
      <c r="H9" s="7">
        <v>70</v>
      </c>
      <c r="I9" s="7">
        <f>RANK(H9,H$8:H$11,0)</f>
        <v>2</v>
      </c>
      <c r="J9" s="7">
        <f>VLOOKUP(I9,'Место-баллы'!$A$3:$E$52,2,0)</f>
        <v>95</v>
      </c>
      <c r="K9" s="10"/>
      <c r="L9" s="7">
        <v>8</v>
      </c>
      <c r="M9" s="7">
        <v>5</v>
      </c>
      <c r="N9" s="14">
        <f>TIME(0,L9,M9)</f>
        <v>5.6134259259259271E-3</v>
      </c>
      <c r="O9" s="7">
        <v>440</v>
      </c>
      <c r="P9" s="7">
        <f>O$2-O9</f>
        <v>374</v>
      </c>
      <c r="Q9" s="14">
        <f>N9+TIME(0,0,P9)</f>
        <v>9.9421296296296306E-3</v>
      </c>
      <c r="R9" s="7">
        <f>RANK(Q9,Q$8:Q$11,1)</f>
        <v>2</v>
      </c>
      <c r="S9" s="7">
        <f>VLOOKUP(R9,'Место-баллы'!$A$3:$E$52,2,0)</f>
        <v>95</v>
      </c>
      <c r="T9" s="10"/>
      <c r="U9" s="7">
        <v>12</v>
      </c>
      <c r="V9" s="7">
        <v>5</v>
      </c>
      <c r="W9" s="14">
        <f>TIME(0,U9,V9)</f>
        <v>8.3912037037037045E-3</v>
      </c>
      <c r="X9" s="7">
        <v>109</v>
      </c>
      <c r="Y9" s="7">
        <f>X$2-X9</f>
        <v>3</v>
      </c>
      <c r="Z9" s="14">
        <f>W9+TIME(0,0,Y9)</f>
        <v>8.425925925925927E-3</v>
      </c>
      <c r="AA9" s="7">
        <f>RANK(Z9,Z$8:Z$11,1)</f>
        <v>2</v>
      </c>
      <c r="AB9" s="7">
        <f>VLOOKUP(AA9,'Место-баллы'!$A$3:$E$52,2,0)</f>
        <v>95</v>
      </c>
      <c r="AC9" s="10"/>
      <c r="AD9" s="7">
        <v>4</v>
      </c>
      <c r="AE9" s="7">
        <v>45</v>
      </c>
      <c r="AF9" s="14">
        <f>TIME(0,AD9,AE9)</f>
        <v>3.2986111111111111E-3</v>
      </c>
      <c r="AG9" s="7">
        <v>11</v>
      </c>
      <c r="AH9" s="7">
        <v>5</v>
      </c>
      <c r="AI9" s="14">
        <f>TIME(0,AG9,AH9)</f>
        <v>7.69675925925926E-3</v>
      </c>
      <c r="AJ9" s="7">
        <v>190</v>
      </c>
      <c r="AK9" s="7">
        <f>AJ$2-AJ9</f>
        <v>10</v>
      </c>
      <c r="AL9" s="14">
        <f>AI9+TIME(0,0,AK9)</f>
        <v>7.8125E-3</v>
      </c>
      <c r="AM9" s="7">
        <f>RANK(AL9,AL$8:AL$11,1)</f>
        <v>2</v>
      </c>
      <c r="AN9" s="7">
        <f>VLOOKUP(AM9,'Место-баллы'!$A$3:$E$52,2,0)</f>
        <v>95</v>
      </c>
    </row>
    <row r="10" spans="2:40" x14ac:dyDescent="0.25">
      <c r="B10" s="7">
        <f>RANK(C10,C$8:C$11,0)</f>
        <v>3</v>
      </c>
      <c r="C10" s="7">
        <f>SUMIF($H$1:$AN$1,1,$H10:$AN10)</f>
        <v>375</v>
      </c>
      <c r="D10" s="10"/>
      <c r="E10" s="16" t="s">
        <v>136</v>
      </c>
      <c r="F10" s="13" t="s">
        <v>98</v>
      </c>
      <c r="G10" s="10"/>
      <c r="H10" s="7">
        <v>67</v>
      </c>
      <c r="I10" s="7">
        <f>RANK(H10,H$8:H$11,0)</f>
        <v>3</v>
      </c>
      <c r="J10" s="7">
        <f>VLOOKUP(I10,'Место-баллы'!$A$3:$E$52,2,0)</f>
        <v>90</v>
      </c>
      <c r="K10" s="10"/>
      <c r="L10" s="7">
        <v>8</v>
      </c>
      <c r="M10" s="7">
        <v>5</v>
      </c>
      <c r="N10" s="14">
        <f>TIME(0,L10,M10)</f>
        <v>5.6134259259259271E-3</v>
      </c>
      <c r="O10" s="7">
        <v>463</v>
      </c>
      <c r="P10" s="7">
        <f>O$2-O10</f>
        <v>351</v>
      </c>
      <c r="Q10" s="14">
        <f>N10+TIME(0,0,P10)</f>
        <v>9.6759259259259264E-3</v>
      </c>
      <c r="R10" s="7">
        <f>RANK(Q10,Q$8:Q$11,1)</f>
        <v>1</v>
      </c>
      <c r="S10" s="7">
        <f>VLOOKUP(R10,'Место-баллы'!$A$3:$E$52,2,0)</f>
        <v>100</v>
      </c>
      <c r="T10" s="10"/>
      <c r="U10" s="7">
        <v>12</v>
      </c>
      <c r="V10" s="7">
        <v>5</v>
      </c>
      <c r="W10" s="14">
        <f>TIME(0,U10,V10)</f>
        <v>8.3912037037037045E-3</v>
      </c>
      <c r="X10" s="7">
        <v>98</v>
      </c>
      <c r="Y10" s="7">
        <f>X$2-X10</f>
        <v>14</v>
      </c>
      <c r="Z10" s="14">
        <f>W10+TIME(0,0,Y10)</f>
        <v>8.5532407407407415E-3</v>
      </c>
      <c r="AA10" s="7">
        <f>RANK(Z10,Z$8:Z$11,1)</f>
        <v>4</v>
      </c>
      <c r="AB10" s="7">
        <f>VLOOKUP(AA10,'Место-баллы'!$A$3:$E$52,2,0)</f>
        <v>85</v>
      </c>
      <c r="AC10" s="10"/>
      <c r="AD10" s="7">
        <v>3</v>
      </c>
      <c r="AE10" s="7">
        <v>20</v>
      </c>
      <c r="AF10" s="14">
        <f>TIME(0,AD10,AE10)</f>
        <v>2.3148148148148151E-3</v>
      </c>
      <c r="AG10" s="7">
        <v>11</v>
      </c>
      <c r="AH10" s="7">
        <v>5</v>
      </c>
      <c r="AI10" s="14">
        <f>TIME(0,AG10,AH10)</f>
        <v>7.69675925925926E-3</v>
      </c>
      <c r="AJ10" s="7">
        <v>192</v>
      </c>
      <c r="AK10" s="7">
        <f>AJ$2-AJ10</f>
        <v>8</v>
      </c>
      <c r="AL10" s="14">
        <f>AI10+TIME(0,0,AK10)</f>
        <v>7.7893518518518529E-3</v>
      </c>
      <c r="AM10" s="7">
        <f>RANK(AL10,AL$8:AL$11,1)</f>
        <v>1</v>
      </c>
      <c r="AN10" s="7">
        <f>VLOOKUP(AM10,'Место-баллы'!$A$3:$E$52,2,0)</f>
        <v>100</v>
      </c>
    </row>
    <row r="11" spans="2:40" x14ac:dyDescent="0.25">
      <c r="B11" s="7">
        <f>RANK(C11,C$8:C$11,0)</f>
        <v>4</v>
      </c>
      <c r="C11" s="7">
        <f>SUMIF($H$1:$AN$1,1,$H11:$AN11)</f>
        <v>345</v>
      </c>
      <c r="D11" s="10"/>
      <c r="E11" s="16" t="s">
        <v>133</v>
      </c>
      <c r="F11" s="13" t="s">
        <v>225</v>
      </c>
      <c r="G11" s="10"/>
      <c r="H11" s="7">
        <v>60</v>
      </c>
      <c r="I11" s="7">
        <f>RANK(H11,H$8:H$11,0)</f>
        <v>4</v>
      </c>
      <c r="J11" s="7">
        <f>VLOOKUP(I11,'Место-баллы'!$A$3:$E$52,2,0)</f>
        <v>85</v>
      </c>
      <c r="K11" s="10"/>
      <c r="L11" s="7">
        <v>8</v>
      </c>
      <c r="M11" s="7">
        <v>5</v>
      </c>
      <c r="N11" s="14">
        <f>TIME(0,L11,M11)</f>
        <v>5.6134259259259271E-3</v>
      </c>
      <c r="O11" s="7">
        <v>414</v>
      </c>
      <c r="P11" s="7">
        <f>O$2-O11</f>
        <v>400</v>
      </c>
      <c r="Q11" s="14">
        <f>N11+TIME(0,0,P11)</f>
        <v>1.0243055555555557E-2</v>
      </c>
      <c r="R11" s="7">
        <f>RANK(Q11,Q$8:Q$11,1)</f>
        <v>4</v>
      </c>
      <c r="S11" s="7">
        <f>VLOOKUP(R11,'Место-баллы'!$A$3:$E$52,2,0)</f>
        <v>85</v>
      </c>
      <c r="T11" s="10"/>
      <c r="U11" s="7">
        <v>12</v>
      </c>
      <c r="V11" s="7">
        <v>5</v>
      </c>
      <c r="W11" s="14">
        <f>TIME(0,U11,V11)</f>
        <v>8.3912037037037045E-3</v>
      </c>
      <c r="X11" s="7">
        <v>104</v>
      </c>
      <c r="Y11" s="7">
        <f>X$2-X11</f>
        <v>8</v>
      </c>
      <c r="Z11" s="14">
        <f>W11+TIME(0,0,Y11)</f>
        <v>8.4837962962962966E-3</v>
      </c>
      <c r="AA11" s="7">
        <f>RANK(Z11,Z$8:Z$11,1)</f>
        <v>3</v>
      </c>
      <c r="AB11" s="7">
        <f>VLOOKUP(AA11,'Место-баллы'!$A$3:$E$52,2,0)</f>
        <v>90</v>
      </c>
      <c r="AC11" s="10"/>
      <c r="AD11" s="7">
        <v>8</v>
      </c>
      <c r="AE11" s="7">
        <v>10</v>
      </c>
      <c r="AF11" s="14">
        <f>TIME(0,AD11,AE11)</f>
        <v>5.6712962962962958E-3</v>
      </c>
      <c r="AG11" s="7">
        <v>11</v>
      </c>
      <c r="AH11" s="7">
        <v>5</v>
      </c>
      <c r="AI11" s="14">
        <f>TIME(0,AG11,AH11)</f>
        <v>7.69675925925926E-3</v>
      </c>
      <c r="AJ11" s="7">
        <v>155</v>
      </c>
      <c r="AK11" s="7">
        <f>AJ$2-AJ11</f>
        <v>45</v>
      </c>
      <c r="AL11" s="14">
        <f>AI11+TIME(0,0,AK11)</f>
        <v>8.217592592592594E-3</v>
      </c>
      <c r="AM11" s="7">
        <f>RANK(AL11,AL$8:AL$11,1)</f>
        <v>4</v>
      </c>
      <c r="AN11" s="7">
        <f>VLOOKUP(AM11,'Место-баллы'!$A$3:$E$52,2,0)</f>
        <v>85</v>
      </c>
    </row>
    <row r="12" spans="2:40" ht="15.75" customHeight="1" x14ac:dyDescent="0.25"/>
    <row r="13" spans="2:40" ht="15.75" customHeight="1" x14ac:dyDescent="0.25"/>
    <row r="14" spans="2:40" ht="15.75" customHeight="1" x14ac:dyDescent="0.25"/>
    <row r="15" spans="2:40" ht="15.75" customHeight="1" x14ac:dyDescent="0.25"/>
    <row r="16" spans="2:4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</sheetData>
  <autoFilter ref="B7:AN7" xr:uid="{03AF8597-732F-46D5-B595-65ABB48E3B6A}">
    <sortState xmlns:xlrd2="http://schemas.microsoft.com/office/spreadsheetml/2017/richdata2" ref="B8:AN11">
      <sortCondition ref="B7"/>
    </sortState>
  </autoFilter>
  <mergeCells count="6">
    <mergeCell ref="AD5:AN6"/>
    <mergeCell ref="H5:J6"/>
    <mergeCell ref="B5:C6"/>
    <mergeCell ref="L5:S6"/>
    <mergeCell ref="U5:AB6"/>
    <mergeCell ref="E5:F6"/>
  </mergeCells>
  <printOptions horizontalCentered="1" verticalCentered="1"/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EB8A-40BA-4701-90CF-C1458C031C29}">
  <sheetPr>
    <pageSetUpPr fitToPage="1"/>
  </sheetPr>
  <dimension ref="B1:AN34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2" sqref="E2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.28515625" bestFit="1" customWidth="1"/>
    <col min="6" max="6" width="20.710937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customWidth="1" collapsed="1"/>
    <col min="15" max="15" width="6.85546875" customWidth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customWidth="1" collapsed="1"/>
    <col min="24" max="24" width="6.85546875" customWidth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9.140625" bestFit="1" customWidth="1" collapsed="1"/>
    <col min="33" max="33" width="5.140625" hidden="1" customWidth="1" outlineLevel="1"/>
    <col min="34" max="34" width="4.28515625" hidden="1" customWidth="1" outlineLevel="1"/>
    <col min="35" max="35" width="7.140625" customWidth="1" collapsed="1"/>
    <col min="36" max="36" width="6.85546875" customWidth="1"/>
    <col min="37" max="37" width="7.85546875" hidden="1" customWidth="1" outlineLevel="1"/>
    <col min="38" max="38" width="7.140625" hidden="1" customWidth="1" outlineLevel="1"/>
    <col min="39" max="39" width="7.140625" customWidth="1" collapsed="1"/>
    <col min="40" max="40" width="6.85546875" customWidth="1"/>
  </cols>
  <sheetData>
    <row r="1" spans="2:40" x14ac:dyDescent="0.25">
      <c r="E1" s="12"/>
      <c r="F1" s="12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U1" s="3"/>
      <c r="V1" s="3"/>
      <c r="W1" s="3"/>
      <c r="X1" s="3"/>
      <c r="Y1" s="3"/>
      <c r="Z1" s="3"/>
      <c r="AA1" s="3"/>
      <c r="AB1" s="4">
        <v>1</v>
      </c>
      <c r="AG1" s="3"/>
      <c r="AH1" s="3"/>
      <c r="AI1" s="3"/>
      <c r="AJ1" s="3"/>
      <c r="AK1" s="3"/>
      <c r="AL1" s="3"/>
      <c r="AM1" s="3"/>
      <c r="AN1" s="4">
        <v>1</v>
      </c>
    </row>
    <row r="2" spans="2:40" x14ac:dyDescent="0.25">
      <c r="E2" s="12"/>
      <c r="F2" s="12"/>
      <c r="H2" s="3"/>
      <c r="I2" s="3"/>
      <c r="J2" s="3"/>
      <c r="L2" s="3"/>
      <c r="M2" s="3"/>
      <c r="N2" s="3"/>
      <c r="O2" s="5">
        <v>1114</v>
      </c>
      <c r="P2" s="3"/>
      <c r="Q2" s="3"/>
      <c r="R2" s="3"/>
      <c r="S2" s="3"/>
      <c r="U2" s="3"/>
      <c r="V2" s="3"/>
      <c r="W2" s="3"/>
      <c r="X2" s="5">
        <v>112</v>
      </c>
      <c r="Y2" s="3"/>
      <c r="Z2" s="3"/>
      <c r="AA2" s="3"/>
      <c r="AB2" s="3"/>
      <c r="AG2" s="3"/>
      <c r="AH2" s="3"/>
      <c r="AI2" s="3"/>
      <c r="AJ2" s="5">
        <v>200</v>
      </c>
      <c r="AK2" s="3"/>
      <c r="AL2" s="3"/>
      <c r="AM2" s="3"/>
      <c r="AN2" s="3"/>
    </row>
    <row r="3" spans="2:40" x14ac:dyDescent="0.25">
      <c r="E3" s="12"/>
      <c r="F3" s="12"/>
      <c r="H3" s="6"/>
      <c r="I3" s="3"/>
      <c r="J3" s="3"/>
      <c r="L3" s="3"/>
      <c r="M3" s="3"/>
      <c r="N3" s="3"/>
      <c r="O3" s="6" t="s">
        <v>47</v>
      </c>
      <c r="P3" s="3"/>
      <c r="Q3" s="3"/>
      <c r="R3" s="3"/>
      <c r="S3" s="3"/>
      <c r="U3" s="3"/>
      <c r="V3" s="3"/>
      <c r="W3" s="3"/>
      <c r="X3" s="6" t="s">
        <v>24</v>
      </c>
      <c r="Y3" s="3"/>
      <c r="Z3" s="3"/>
      <c r="AA3" s="3"/>
      <c r="AB3" s="3"/>
      <c r="AG3" s="3"/>
      <c r="AH3" s="3"/>
      <c r="AI3" s="3"/>
      <c r="AJ3" s="17" t="s">
        <v>221</v>
      </c>
      <c r="AK3" s="3"/>
      <c r="AL3" s="3"/>
      <c r="AM3" s="3"/>
      <c r="AN3" s="3"/>
    </row>
    <row r="4" spans="2:40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G4" s="3"/>
      <c r="AH4" s="3"/>
      <c r="AI4" s="3"/>
      <c r="AJ4" s="3"/>
      <c r="AK4" s="3"/>
      <c r="AL4" s="3"/>
      <c r="AM4" s="3"/>
      <c r="AN4" s="3"/>
    </row>
    <row r="5" spans="2:40" ht="15" customHeight="1" x14ac:dyDescent="0.25">
      <c r="B5" s="23" t="s">
        <v>4</v>
      </c>
      <c r="C5" s="24"/>
      <c r="D5" s="7"/>
      <c r="E5" s="25" t="s">
        <v>34</v>
      </c>
      <c r="F5" s="26"/>
      <c r="G5" s="7"/>
      <c r="H5" s="25" t="s">
        <v>22</v>
      </c>
      <c r="I5" s="29"/>
      <c r="J5" s="26"/>
      <c r="K5" s="7"/>
      <c r="L5" s="23" t="s">
        <v>23</v>
      </c>
      <c r="M5" s="24"/>
      <c r="N5" s="24"/>
      <c r="O5" s="24"/>
      <c r="P5" s="24"/>
      <c r="Q5" s="24"/>
      <c r="R5" s="24"/>
      <c r="S5" s="24"/>
      <c r="T5" s="7"/>
      <c r="U5" s="23" t="s">
        <v>5</v>
      </c>
      <c r="V5" s="24"/>
      <c r="W5" s="24"/>
      <c r="X5" s="24"/>
      <c r="Y5" s="24"/>
      <c r="Z5" s="24"/>
      <c r="AA5" s="24"/>
      <c r="AB5" s="24"/>
      <c r="AC5" s="7"/>
      <c r="AD5" s="25" t="s">
        <v>6</v>
      </c>
      <c r="AE5" s="29"/>
      <c r="AF5" s="29"/>
      <c r="AG5" s="29"/>
      <c r="AH5" s="29"/>
      <c r="AI5" s="29"/>
      <c r="AJ5" s="29"/>
      <c r="AK5" s="29"/>
      <c r="AL5" s="29"/>
      <c r="AM5" s="29"/>
      <c r="AN5" s="26"/>
    </row>
    <row r="6" spans="2:40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4"/>
      <c r="M6" s="24"/>
      <c r="N6" s="24"/>
      <c r="O6" s="24"/>
      <c r="P6" s="24"/>
      <c r="Q6" s="24"/>
      <c r="R6" s="24"/>
      <c r="S6" s="24"/>
      <c r="T6" s="8"/>
      <c r="U6" s="24"/>
      <c r="V6" s="24"/>
      <c r="W6" s="24"/>
      <c r="X6" s="24"/>
      <c r="Y6" s="24"/>
      <c r="Z6" s="24"/>
      <c r="AA6" s="24"/>
      <c r="AB6" s="24"/>
      <c r="AC6" s="8"/>
      <c r="AD6" s="27"/>
      <c r="AE6" s="30"/>
      <c r="AF6" s="30"/>
      <c r="AG6" s="30"/>
      <c r="AH6" s="30"/>
      <c r="AI6" s="30"/>
      <c r="AJ6" s="30"/>
      <c r="AK6" s="30"/>
      <c r="AL6" s="30"/>
      <c r="AM6" s="30"/>
      <c r="AN6" s="28"/>
    </row>
    <row r="7" spans="2:40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8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27</v>
      </c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</row>
    <row r="8" spans="2:40" x14ac:dyDescent="0.25">
      <c r="B8" s="7">
        <f t="shared" ref="B8:B28" si="0">RANK(C8,C$8:C$28,0)</f>
        <v>1</v>
      </c>
      <c r="C8" s="7">
        <f t="shared" ref="C8:C28" si="1">SUMIF($H$1:$AN$1,1,$H8:$AN8)</f>
        <v>400</v>
      </c>
      <c r="D8" s="10"/>
      <c r="E8" s="10" t="s">
        <v>62</v>
      </c>
      <c r="F8" s="16" t="s">
        <v>54</v>
      </c>
      <c r="G8" s="10"/>
      <c r="H8" s="7">
        <v>142</v>
      </c>
      <c r="I8" s="7">
        <f t="shared" ref="I8:I28" si="2">RANK(H8,H$8:H$28,0)</f>
        <v>1</v>
      </c>
      <c r="J8" s="7">
        <f>VLOOKUP(I8,'Место-баллы'!$A$3:$E$52,2,0)</f>
        <v>100</v>
      </c>
      <c r="K8" s="10"/>
      <c r="L8" s="7">
        <v>7</v>
      </c>
      <c r="M8" s="7">
        <v>33</v>
      </c>
      <c r="N8" s="14">
        <f t="shared" ref="N8:N28" si="3">TIME(0,L8,M8)</f>
        <v>5.2430555555555555E-3</v>
      </c>
      <c r="O8" s="7">
        <v>1114</v>
      </c>
      <c r="P8" s="7">
        <f t="shared" ref="P8:P28" si="4">O$2-O8</f>
        <v>0</v>
      </c>
      <c r="Q8" s="14">
        <f t="shared" ref="Q8:Q28" si="5">N8+TIME(0,0,P8)</f>
        <v>5.2430555555555555E-3</v>
      </c>
      <c r="R8" s="7">
        <f t="shared" ref="R8:R28" si="6">RANK(Q8,Q$8:Q$28,1)</f>
        <v>1</v>
      </c>
      <c r="S8" s="7">
        <f>VLOOKUP(R8,'Место-баллы'!$A$3:$E$52,2,0)</f>
        <v>100</v>
      </c>
      <c r="T8" s="10"/>
      <c r="U8" s="7">
        <v>9</v>
      </c>
      <c r="V8" s="7">
        <v>3</v>
      </c>
      <c r="W8" s="14">
        <f t="shared" ref="W8:W28" si="7">TIME(0,U8,V8)</f>
        <v>6.2847222222222228E-3</v>
      </c>
      <c r="X8" s="7">
        <v>112</v>
      </c>
      <c r="Y8" s="7">
        <f t="shared" ref="Y8:Y28" si="8">X$2-X8</f>
        <v>0</v>
      </c>
      <c r="Z8" s="14">
        <f t="shared" ref="Z8:Z28" si="9">W8+TIME(0,0,Y8)</f>
        <v>6.2847222222222228E-3</v>
      </c>
      <c r="AA8" s="7">
        <f t="shared" ref="AA8:AA28" si="10">RANK(Z8,Z$8:Z$28,1)</f>
        <v>1</v>
      </c>
      <c r="AB8" s="7">
        <f>VLOOKUP(AA8,'Место-баллы'!$A$3:$E$52,2,0)</f>
        <v>100</v>
      </c>
      <c r="AC8" s="10"/>
      <c r="AD8" s="7">
        <v>1</v>
      </c>
      <c r="AE8" s="7">
        <v>55</v>
      </c>
      <c r="AF8" s="14">
        <f t="shared" ref="AF8:AF15" si="11">TIME(0,AD8,AE8)</f>
        <v>1.3310185185185185E-3</v>
      </c>
      <c r="AG8" s="7">
        <v>6</v>
      </c>
      <c r="AH8" s="7">
        <v>19</v>
      </c>
      <c r="AI8" s="14">
        <f t="shared" ref="AI8:AI15" si="12">TIME(0,AG8,AH8)</f>
        <v>4.386574074074074E-3</v>
      </c>
      <c r="AJ8" s="7">
        <v>200</v>
      </c>
      <c r="AK8" s="7">
        <f t="shared" ref="AK8:AK15" si="13">AJ$2-AJ8</f>
        <v>0</v>
      </c>
      <c r="AL8" s="14">
        <f t="shared" ref="AL8:AL15" si="14">AI8+TIME(0,0,AK8)</f>
        <v>4.386574074074074E-3</v>
      </c>
      <c r="AM8" s="7">
        <f t="shared" ref="AM8:AM15" si="15">RANK(AL8,AL$8:AL$28,1)</f>
        <v>1</v>
      </c>
      <c r="AN8" s="7">
        <f>VLOOKUP(AM8,'Место-баллы'!$A$3:$E$52,2,0)</f>
        <v>100</v>
      </c>
    </row>
    <row r="9" spans="2:40" x14ac:dyDescent="0.25">
      <c r="B9" s="7">
        <f t="shared" si="0"/>
        <v>2</v>
      </c>
      <c r="C9" s="7">
        <f t="shared" si="1"/>
        <v>365</v>
      </c>
      <c r="D9" s="10"/>
      <c r="E9" s="16" t="s">
        <v>162</v>
      </c>
      <c r="F9" s="16"/>
      <c r="G9" s="10"/>
      <c r="H9" s="7">
        <v>123</v>
      </c>
      <c r="I9" s="7">
        <f t="shared" si="2"/>
        <v>4</v>
      </c>
      <c r="J9" s="7">
        <f>VLOOKUP(I9,'Место-баллы'!$A$3:$E$52,2,0)</f>
        <v>85</v>
      </c>
      <c r="K9" s="10"/>
      <c r="L9" s="7">
        <v>8</v>
      </c>
      <c r="M9" s="7">
        <v>5</v>
      </c>
      <c r="N9" s="14">
        <f t="shared" si="3"/>
        <v>5.6134259259259271E-3</v>
      </c>
      <c r="O9" s="7">
        <f>614+226</f>
        <v>840</v>
      </c>
      <c r="P9" s="7">
        <f t="shared" si="4"/>
        <v>274</v>
      </c>
      <c r="Q9" s="14">
        <f t="shared" si="5"/>
        <v>8.7847222222222233E-3</v>
      </c>
      <c r="R9" s="7">
        <f t="shared" si="6"/>
        <v>3</v>
      </c>
      <c r="S9" s="7">
        <f>VLOOKUP(R9,'Место-баллы'!$A$3:$E$52,2,0)</f>
        <v>90</v>
      </c>
      <c r="T9" s="10"/>
      <c r="U9" s="7">
        <v>9</v>
      </c>
      <c r="V9" s="7">
        <v>49</v>
      </c>
      <c r="W9" s="14">
        <f t="shared" si="7"/>
        <v>6.8171296296296287E-3</v>
      </c>
      <c r="X9" s="7">
        <v>112</v>
      </c>
      <c r="Y9" s="7">
        <f t="shared" si="8"/>
        <v>0</v>
      </c>
      <c r="Z9" s="14">
        <f t="shared" si="9"/>
        <v>6.8171296296296287E-3</v>
      </c>
      <c r="AA9" s="7">
        <f t="shared" si="10"/>
        <v>2</v>
      </c>
      <c r="AB9" s="7">
        <f>VLOOKUP(AA9,'Место-баллы'!$A$3:$E$52,2,0)</f>
        <v>95</v>
      </c>
      <c r="AC9" s="10"/>
      <c r="AD9" s="7">
        <v>2</v>
      </c>
      <c r="AE9" s="7">
        <v>39</v>
      </c>
      <c r="AF9" s="14">
        <f t="shared" si="11"/>
        <v>1.8402777777777777E-3</v>
      </c>
      <c r="AG9" s="7">
        <v>7</v>
      </c>
      <c r="AH9" s="7">
        <v>40</v>
      </c>
      <c r="AI9" s="14">
        <f t="shared" si="12"/>
        <v>5.3240740740740748E-3</v>
      </c>
      <c r="AJ9" s="7">
        <v>200</v>
      </c>
      <c r="AK9" s="7">
        <f t="shared" si="13"/>
        <v>0</v>
      </c>
      <c r="AL9" s="14">
        <f t="shared" si="14"/>
        <v>5.3240740740740748E-3</v>
      </c>
      <c r="AM9" s="7">
        <f t="shared" si="15"/>
        <v>2</v>
      </c>
      <c r="AN9" s="7">
        <f>VLOOKUP(AM9,'Место-баллы'!$A$3:$E$52,2,0)</f>
        <v>95</v>
      </c>
    </row>
    <row r="10" spans="2:40" x14ac:dyDescent="0.25">
      <c r="B10" s="7">
        <f t="shared" si="0"/>
        <v>3</v>
      </c>
      <c r="C10" s="7">
        <f t="shared" si="1"/>
        <v>345</v>
      </c>
      <c r="D10" s="10"/>
      <c r="E10" s="16" t="s">
        <v>153</v>
      </c>
      <c r="F10" s="16"/>
      <c r="G10" s="10"/>
      <c r="H10" s="7">
        <v>122</v>
      </c>
      <c r="I10" s="7">
        <f t="shared" si="2"/>
        <v>5</v>
      </c>
      <c r="J10" s="7">
        <f>VLOOKUP(I10,'Место-баллы'!$A$3:$E$52,2,0)</f>
        <v>80</v>
      </c>
      <c r="K10" s="10"/>
      <c r="L10" s="7">
        <v>8</v>
      </c>
      <c r="M10" s="7">
        <v>5</v>
      </c>
      <c r="N10" s="14">
        <f t="shared" si="3"/>
        <v>5.6134259259259271E-3</v>
      </c>
      <c r="O10" s="7">
        <f>614+493</f>
        <v>1107</v>
      </c>
      <c r="P10" s="7">
        <f t="shared" si="4"/>
        <v>7</v>
      </c>
      <c r="Q10" s="14">
        <f t="shared" si="5"/>
        <v>5.6944444444444456E-3</v>
      </c>
      <c r="R10" s="7">
        <f t="shared" si="6"/>
        <v>2</v>
      </c>
      <c r="S10" s="7">
        <f>VLOOKUP(R10,'Место-баллы'!$A$3:$E$52,2,0)</f>
        <v>95</v>
      </c>
      <c r="T10" s="10"/>
      <c r="U10" s="7">
        <v>10</v>
      </c>
      <c r="V10" s="7">
        <v>34</v>
      </c>
      <c r="W10" s="14">
        <f t="shared" si="7"/>
        <v>7.3379629629629628E-3</v>
      </c>
      <c r="X10" s="7">
        <v>112</v>
      </c>
      <c r="Y10" s="7">
        <f t="shared" si="8"/>
        <v>0</v>
      </c>
      <c r="Z10" s="14">
        <f t="shared" si="9"/>
        <v>7.3379629629629628E-3</v>
      </c>
      <c r="AA10" s="7">
        <f t="shared" si="10"/>
        <v>5</v>
      </c>
      <c r="AB10" s="7">
        <f>VLOOKUP(AA10,'Место-баллы'!$A$3:$E$52,2,0)</f>
        <v>80</v>
      </c>
      <c r="AC10" s="10"/>
      <c r="AD10" s="7">
        <v>2</v>
      </c>
      <c r="AE10" s="7">
        <v>52</v>
      </c>
      <c r="AF10" s="14">
        <f t="shared" si="11"/>
        <v>1.9907407407407408E-3</v>
      </c>
      <c r="AG10" s="7">
        <v>8</v>
      </c>
      <c r="AH10" s="7">
        <v>4</v>
      </c>
      <c r="AI10" s="14">
        <f t="shared" si="12"/>
        <v>5.6018518518518518E-3</v>
      </c>
      <c r="AJ10" s="7">
        <v>200</v>
      </c>
      <c r="AK10" s="7">
        <f t="shared" si="13"/>
        <v>0</v>
      </c>
      <c r="AL10" s="14">
        <f t="shared" si="14"/>
        <v>5.6018518518518518E-3</v>
      </c>
      <c r="AM10" s="7">
        <f t="shared" si="15"/>
        <v>3</v>
      </c>
      <c r="AN10" s="7">
        <f>VLOOKUP(AM10,'Место-баллы'!$A$3:$E$52,2,0)</f>
        <v>90</v>
      </c>
    </row>
    <row r="11" spans="2:40" x14ac:dyDescent="0.25">
      <c r="B11" s="7">
        <f t="shared" si="0"/>
        <v>4</v>
      </c>
      <c r="C11" s="7">
        <f t="shared" si="1"/>
        <v>325</v>
      </c>
      <c r="D11" s="10"/>
      <c r="E11" s="16" t="s">
        <v>148</v>
      </c>
      <c r="F11" s="16"/>
      <c r="G11" s="10"/>
      <c r="H11" s="7">
        <v>141</v>
      </c>
      <c r="I11" s="7">
        <f t="shared" si="2"/>
        <v>2</v>
      </c>
      <c r="J11" s="7">
        <f>VLOOKUP(I11,'Место-баллы'!$A$3:$E$52,2,0)</f>
        <v>95</v>
      </c>
      <c r="K11" s="10"/>
      <c r="L11" s="7">
        <v>8</v>
      </c>
      <c r="M11" s="7">
        <v>5</v>
      </c>
      <c r="N11" s="14">
        <f t="shared" si="3"/>
        <v>5.6134259259259271E-3</v>
      </c>
      <c r="O11" s="7">
        <f>614+177</f>
        <v>791</v>
      </c>
      <c r="P11" s="7">
        <f t="shared" si="4"/>
        <v>323</v>
      </c>
      <c r="Q11" s="14">
        <f t="shared" si="5"/>
        <v>9.3518518518518542E-3</v>
      </c>
      <c r="R11" s="7">
        <f t="shared" si="6"/>
        <v>5</v>
      </c>
      <c r="S11" s="7">
        <f>VLOOKUP(R11,'Место-баллы'!$A$3:$E$52,2,0)</f>
        <v>80</v>
      </c>
      <c r="T11" s="10"/>
      <c r="U11" s="7">
        <v>11</v>
      </c>
      <c r="V11" s="7">
        <v>19</v>
      </c>
      <c r="W11" s="14">
        <f t="shared" si="7"/>
        <v>7.858796296296296E-3</v>
      </c>
      <c r="X11" s="7">
        <v>112</v>
      </c>
      <c r="Y11" s="7">
        <f t="shared" si="8"/>
        <v>0</v>
      </c>
      <c r="Z11" s="14">
        <f t="shared" si="9"/>
        <v>7.858796296296296E-3</v>
      </c>
      <c r="AA11" s="7">
        <f t="shared" si="10"/>
        <v>6</v>
      </c>
      <c r="AB11" s="7">
        <f>VLOOKUP(AA11,'Место-баллы'!$A$3:$E$52,2,0)</f>
        <v>75</v>
      </c>
      <c r="AC11" s="10"/>
      <c r="AD11" s="7">
        <v>3</v>
      </c>
      <c r="AE11" s="7">
        <v>8</v>
      </c>
      <c r="AF11" s="14">
        <f t="shared" si="11"/>
        <v>2.1759259259259258E-3</v>
      </c>
      <c r="AG11" s="7">
        <v>9</v>
      </c>
      <c r="AH11" s="7">
        <v>28</v>
      </c>
      <c r="AI11" s="14">
        <f t="shared" si="12"/>
        <v>6.5740740740740733E-3</v>
      </c>
      <c r="AJ11" s="7">
        <v>200</v>
      </c>
      <c r="AK11" s="7">
        <f t="shared" si="13"/>
        <v>0</v>
      </c>
      <c r="AL11" s="14">
        <f t="shared" si="14"/>
        <v>6.5740740740740733E-3</v>
      </c>
      <c r="AM11" s="7">
        <f t="shared" si="15"/>
        <v>6</v>
      </c>
      <c r="AN11" s="7">
        <f>VLOOKUP(AM11,'Место-баллы'!$A$3:$E$52,2,0)</f>
        <v>75</v>
      </c>
    </row>
    <row r="12" spans="2:40" x14ac:dyDescent="0.25">
      <c r="B12" s="7">
        <f t="shared" si="0"/>
        <v>5</v>
      </c>
      <c r="C12" s="7">
        <f t="shared" si="1"/>
        <v>320</v>
      </c>
      <c r="D12" s="10"/>
      <c r="E12" s="16" t="s">
        <v>160</v>
      </c>
      <c r="F12" s="16"/>
      <c r="G12" s="10"/>
      <c r="H12" s="7">
        <v>110</v>
      </c>
      <c r="I12" s="7">
        <f t="shared" si="2"/>
        <v>11</v>
      </c>
      <c r="J12" s="7">
        <f>VLOOKUP(I12,'Место-баллы'!$A$3:$E$52,2,0)</f>
        <v>65</v>
      </c>
      <c r="K12" s="10"/>
      <c r="L12" s="7">
        <v>8</v>
      </c>
      <c r="M12" s="7">
        <v>5</v>
      </c>
      <c r="N12" s="14">
        <f t="shared" si="3"/>
        <v>5.6134259259259271E-3</v>
      </c>
      <c r="O12" s="7">
        <f>614+224</f>
        <v>838</v>
      </c>
      <c r="P12" s="7">
        <f t="shared" si="4"/>
        <v>276</v>
      </c>
      <c r="Q12" s="14">
        <f t="shared" si="5"/>
        <v>8.8078703703703722E-3</v>
      </c>
      <c r="R12" s="7">
        <f t="shared" si="6"/>
        <v>4</v>
      </c>
      <c r="S12" s="7">
        <f>VLOOKUP(R12,'Место-баллы'!$A$3:$E$52,2,0)</f>
        <v>85</v>
      </c>
      <c r="T12" s="10"/>
      <c r="U12" s="7">
        <v>9</v>
      </c>
      <c r="V12" s="7">
        <v>55</v>
      </c>
      <c r="W12" s="14">
        <f t="shared" si="7"/>
        <v>6.8865740740740736E-3</v>
      </c>
      <c r="X12" s="7">
        <v>112</v>
      </c>
      <c r="Y12" s="7">
        <f t="shared" si="8"/>
        <v>0</v>
      </c>
      <c r="Z12" s="14">
        <f t="shared" si="9"/>
        <v>6.8865740740740736E-3</v>
      </c>
      <c r="AA12" s="7">
        <f t="shared" si="10"/>
        <v>3</v>
      </c>
      <c r="AB12" s="7">
        <f>VLOOKUP(AA12,'Место-баллы'!$A$3:$E$52,2,0)</f>
        <v>90</v>
      </c>
      <c r="AC12" s="10"/>
      <c r="AD12" s="7">
        <v>3</v>
      </c>
      <c r="AE12" s="7">
        <v>6</v>
      </c>
      <c r="AF12" s="14">
        <f t="shared" si="11"/>
        <v>2.1527777777777778E-3</v>
      </c>
      <c r="AG12" s="7">
        <v>8</v>
      </c>
      <c r="AH12" s="7">
        <v>40</v>
      </c>
      <c r="AI12" s="14">
        <f t="shared" si="12"/>
        <v>6.0185185185185177E-3</v>
      </c>
      <c r="AJ12" s="7">
        <v>200</v>
      </c>
      <c r="AK12" s="7">
        <f t="shared" si="13"/>
        <v>0</v>
      </c>
      <c r="AL12" s="14">
        <f t="shared" si="14"/>
        <v>6.0185185185185177E-3</v>
      </c>
      <c r="AM12" s="7">
        <f t="shared" si="15"/>
        <v>5</v>
      </c>
      <c r="AN12" s="7">
        <f>VLOOKUP(AM12,'Место-баллы'!$A$3:$E$52,2,0)</f>
        <v>80</v>
      </c>
    </row>
    <row r="13" spans="2:40" x14ac:dyDescent="0.25">
      <c r="B13" s="7">
        <f t="shared" si="0"/>
        <v>6</v>
      </c>
      <c r="C13" s="7">
        <f t="shared" si="1"/>
        <v>310</v>
      </c>
      <c r="D13" s="10"/>
      <c r="E13" s="16" t="s">
        <v>150</v>
      </c>
      <c r="F13" s="16"/>
      <c r="G13" s="10"/>
      <c r="H13" s="7">
        <v>110</v>
      </c>
      <c r="I13" s="7">
        <f t="shared" si="2"/>
        <v>11</v>
      </c>
      <c r="J13" s="7">
        <f>VLOOKUP(I13,'Место-баллы'!$A$3:$E$52,2,0)</f>
        <v>65</v>
      </c>
      <c r="K13" s="10"/>
      <c r="L13" s="7">
        <v>8</v>
      </c>
      <c r="M13" s="7">
        <v>5</v>
      </c>
      <c r="N13" s="14">
        <f t="shared" si="3"/>
        <v>5.6134259259259271E-3</v>
      </c>
      <c r="O13" s="7">
        <f>614+134</f>
        <v>748</v>
      </c>
      <c r="P13" s="7">
        <f t="shared" si="4"/>
        <v>366</v>
      </c>
      <c r="Q13" s="14">
        <f t="shared" si="5"/>
        <v>9.8495370370370386E-3</v>
      </c>
      <c r="R13" s="7">
        <f t="shared" si="6"/>
        <v>6</v>
      </c>
      <c r="S13" s="7">
        <f>VLOOKUP(R13,'Место-баллы'!$A$3:$E$52,2,0)</f>
        <v>75</v>
      </c>
      <c r="T13" s="10"/>
      <c r="U13" s="7">
        <v>10</v>
      </c>
      <c r="V13" s="7">
        <v>26</v>
      </c>
      <c r="W13" s="14">
        <f t="shared" si="7"/>
        <v>7.2453703703703708E-3</v>
      </c>
      <c r="X13" s="7">
        <v>112</v>
      </c>
      <c r="Y13" s="7">
        <f t="shared" si="8"/>
        <v>0</v>
      </c>
      <c r="Z13" s="14">
        <f t="shared" si="9"/>
        <v>7.2453703703703708E-3</v>
      </c>
      <c r="AA13" s="7">
        <f t="shared" si="10"/>
        <v>4</v>
      </c>
      <c r="AB13" s="7">
        <f>VLOOKUP(AA13,'Место-баллы'!$A$3:$E$52,2,0)</f>
        <v>85</v>
      </c>
      <c r="AC13" s="10"/>
      <c r="AD13" s="7">
        <v>2</v>
      </c>
      <c r="AE13" s="7">
        <v>56</v>
      </c>
      <c r="AF13" s="14">
        <f t="shared" si="11"/>
        <v>2.0370370370370373E-3</v>
      </c>
      <c r="AG13" s="7">
        <v>8</v>
      </c>
      <c r="AH13" s="7">
        <v>20</v>
      </c>
      <c r="AI13" s="14">
        <f t="shared" si="12"/>
        <v>5.7870370370370376E-3</v>
      </c>
      <c r="AJ13" s="7">
        <v>200</v>
      </c>
      <c r="AK13" s="7">
        <f t="shared" si="13"/>
        <v>0</v>
      </c>
      <c r="AL13" s="14">
        <f t="shared" si="14"/>
        <v>5.7870370370370376E-3</v>
      </c>
      <c r="AM13" s="7">
        <f t="shared" si="15"/>
        <v>4</v>
      </c>
      <c r="AN13" s="7">
        <f>VLOOKUP(AM13,'Место-баллы'!$A$3:$E$52,2,0)</f>
        <v>85</v>
      </c>
    </row>
    <row r="14" spans="2:40" x14ac:dyDescent="0.25">
      <c r="B14" s="7">
        <f t="shared" si="0"/>
        <v>7</v>
      </c>
      <c r="C14" s="7">
        <f t="shared" si="1"/>
        <v>305</v>
      </c>
      <c r="D14" s="10"/>
      <c r="E14" s="16" t="s">
        <v>165</v>
      </c>
      <c r="F14" s="16"/>
      <c r="G14" s="10"/>
      <c r="H14" s="7">
        <v>125</v>
      </c>
      <c r="I14" s="7">
        <f t="shared" si="2"/>
        <v>3</v>
      </c>
      <c r="J14" s="7">
        <f>VLOOKUP(I14,'Место-баллы'!$A$3:$E$52,2,0)</f>
        <v>90</v>
      </c>
      <c r="K14" s="10"/>
      <c r="L14" s="7">
        <v>8</v>
      </c>
      <c r="M14" s="7">
        <v>5</v>
      </c>
      <c r="N14" s="14">
        <f t="shared" si="3"/>
        <v>5.6134259259259271E-3</v>
      </c>
      <c r="O14" s="7">
        <v>609</v>
      </c>
      <c r="P14" s="7">
        <f t="shared" si="4"/>
        <v>505</v>
      </c>
      <c r="Q14" s="14">
        <f t="shared" si="5"/>
        <v>1.1458333333333334E-2</v>
      </c>
      <c r="R14" s="7">
        <f t="shared" si="6"/>
        <v>8</v>
      </c>
      <c r="S14" s="7">
        <f>VLOOKUP(R14,'Место-баллы'!$A$3:$E$52,2,0)</f>
        <v>71</v>
      </c>
      <c r="T14" s="10"/>
      <c r="U14" s="7">
        <v>12</v>
      </c>
      <c r="V14" s="7">
        <v>5</v>
      </c>
      <c r="W14" s="14">
        <f t="shared" si="7"/>
        <v>8.3912037037037045E-3</v>
      </c>
      <c r="X14" s="7">
        <v>99</v>
      </c>
      <c r="Y14" s="7">
        <f t="shared" si="8"/>
        <v>13</v>
      </c>
      <c r="Z14" s="14">
        <f t="shared" si="9"/>
        <v>8.5416666666666679E-3</v>
      </c>
      <c r="AA14" s="7">
        <f t="shared" si="10"/>
        <v>7</v>
      </c>
      <c r="AB14" s="7">
        <f>VLOOKUP(AA14,'Место-баллы'!$A$3:$E$52,2,0)</f>
        <v>73</v>
      </c>
      <c r="AC14" s="10"/>
      <c r="AD14" s="7">
        <v>3</v>
      </c>
      <c r="AE14" s="7">
        <v>25</v>
      </c>
      <c r="AF14" s="14">
        <f t="shared" si="11"/>
        <v>2.3726851851851851E-3</v>
      </c>
      <c r="AG14" s="7">
        <v>11</v>
      </c>
      <c r="AH14" s="7">
        <v>5</v>
      </c>
      <c r="AI14" s="14">
        <f t="shared" si="12"/>
        <v>7.69675925925926E-3</v>
      </c>
      <c r="AJ14" s="7">
        <v>199</v>
      </c>
      <c r="AK14" s="7">
        <f t="shared" si="13"/>
        <v>1</v>
      </c>
      <c r="AL14" s="14">
        <f t="shared" si="14"/>
        <v>7.7083333333333344E-3</v>
      </c>
      <c r="AM14" s="7">
        <f t="shared" si="15"/>
        <v>8</v>
      </c>
      <c r="AN14" s="7">
        <f>VLOOKUP(AM14,'Место-баллы'!$A$3:$E$52,2,0)</f>
        <v>71</v>
      </c>
    </row>
    <row r="15" spans="2:40" x14ac:dyDescent="0.25">
      <c r="B15" s="7">
        <f t="shared" si="0"/>
        <v>8</v>
      </c>
      <c r="C15" s="7">
        <f t="shared" si="1"/>
        <v>286</v>
      </c>
      <c r="D15" s="10"/>
      <c r="E15" s="16" t="s">
        <v>151</v>
      </c>
      <c r="F15" s="16"/>
      <c r="G15" s="10"/>
      <c r="H15" s="7">
        <v>121</v>
      </c>
      <c r="I15" s="7">
        <f t="shared" si="2"/>
        <v>7</v>
      </c>
      <c r="J15" s="7">
        <f>VLOOKUP(I15,'Место-баллы'!$A$3:$E$52,2,0)</f>
        <v>73</v>
      </c>
      <c r="K15" s="10"/>
      <c r="L15" s="7">
        <v>8</v>
      </c>
      <c r="M15" s="7">
        <v>5</v>
      </c>
      <c r="N15" s="14">
        <f t="shared" si="3"/>
        <v>5.6134259259259271E-3</v>
      </c>
      <c r="O15" s="7">
        <v>607</v>
      </c>
      <c r="P15" s="7">
        <f t="shared" si="4"/>
        <v>507</v>
      </c>
      <c r="Q15" s="14">
        <f t="shared" si="5"/>
        <v>1.1481481481481481E-2</v>
      </c>
      <c r="R15" s="7">
        <f t="shared" si="6"/>
        <v>9</v>
      </c>
      <c r="S15" s="7">
        <f>VLOOKUP(R15,'Место-баллы'!$A$3:$E$52,2,0)</f>
        <v>69</v>
      </c>
      <c r="T15" s="10"/>
      <c r="U15" s="7">
        <v>12</v>
      </c>
      <c r="V15" s="7">
        <v>5</v>
      </c>
      <c r="W15" s="14">
        <f t="shared" si="7"/>
        <v>8.3912037037037045E-3</v>
      </c>
      <c r="X15" s="7">
        <v>98</v>
      </c>
      <c r="Y15" s="7">
        <f t="shared" si="8"/>
        <v>14</v>
      </c>
      <c r="Z15" s="14">
        <f t="shared" si="9"/>
        <v>8.5532407407407415E-3</v>
      </c>
      <c r="AA15" s="7">
        <f t="shared" si="10"/>
        <v>8</v>
      </c>
      <c r="AB15" s="7">
        <f>VLOOKUP(AA15,'Место-баллы'!$A$3:$E$52,2,0)</f>
        <v>71</v>
      </c>
      <c r="AC15" s="10"/>
      <c r="AD15" s="7">
        <v>2</v>
      </c>
      <c r="AE15" s="7">
        <v>58</v>
      </c>
      <c r="AF15" s="14">
        <f t="shared" si="11"/>
        <v>2.0601851851851853E-3</v>
      </c>
      <c r="AG15" s="7">
        <v>10</v>
      </c>
      <c r="AH15" s="7">
        <v>4</v>
      </c>
      <c r="AI15" s="14">
        <f t="shared" si="12"/>
        <v>6.9907407407407409E-3</v>
      </c>
      <c r="AJ15" s="7">
        <v>200</v>
      </c>
      <c r="AK15" s="7">
        <f t="shared" si="13"/>
        <v>0</v>
      </c>
      <c r="AL15" s="14">
        <f t="shared" si="14"/>
        <v>6.9907407407407409E-3</v>
      </c>
      <c r="AM15" s="7">
        <f t="shared" si="15"/>
        <v>7</v>
      </c>
      <c r="AN15" s="7">
        <f>VLOOKUP(AM15,'Место-баллы'!$A$3:$E$52,2,0)</f>
        <v>73</v>
      </c>
    </row>
    <row r="16" spans="2:40" x14ac:dyDescent="0.25">
      <c r="B16" s="7">
        <f t="shared" si="0"/>
        <v>9</v>
      </c>
      <c r="C16" s="7">
        <f t="shared" si="1"/>
        <v>203</v>
      </c>
      <c r="D16" s="10"/>
      <c r="E16" s="16" t="s">
        <v>159</v>
      </c>
      <c r="F16" s="16" t="s">
        <v>214</v>
      </c>
      <c r="G16" s="10"/>
      <c r="H16" s="7">
        <v>115</v>
      </c>
      <c r="I16" s="7">
        <f t="shared" si="2"/>
        <v>9</v>
      </c>
      <c r="J16" s="7">
        <f>VLOOKUP(I16,'Место-баллы'!$A$3:$E$52,2,0)</f>
        <v>69</v>
      </c>
      <c r="K16" s="10"/>
      <c r="L16" s="7">
        <v>8</v>
      </c>
      <c r="M16" s="7">
        <v>5</v>
      </c>
      <c r="N16" s="14">
        <f t="shared" si="3"/>
        <v>5.6134259259259271E-3</v>
      </c>
      <c r="O16" s="7">
        <v>590</v>
      </c>
      <c r="P16" s="7">
        <f t="shared" si="4"/>
        <v>524</v>
      </c>
      <c r="Q16" s="14">
        <f t="shared" si="5"/>
        <v>1.1678240740740743E-2</v>
      </c>
      <c r="R16" s="7">
        <f t="shared" si="6"/>
        <v>12</v>
      </c>
      <c r="S16" s="7">
        <f>VLOOKUP(R16,'Место-баллы'!$A$3:$E$52,2,0)</f>
        <v>63</v>
      </c>
      <c r="T16" s="10"/>
      <c r="U16" s="7">
        <v>12</v>
      </c>
      <c r="V16" s="7">
        <v>5</v>
      </c>
      <c r="W16" s="14">
        <f t="shared" si="7"/>
        <v>8.3912037037037045E-3</v>
      </c>
      <c r="X16" s="7">
        <v>98</v>
      </c>
      <c r="Y16" s="7">
        <f t="shared" si="8"/>
        <v>14</v>
      </c>
      <c r="Z16" s="14">
        <f t="shared" si="9"/>
        <v>8.5532407407407415E-3</v>
      </c>
      <c r="AA16" s="7">
        <f t="shared" si="10"/>
        <v>8</v>
      </c>
      <c r="AB16" s="7">
        <f>VLOOKUP(AA16,'Место-баллы'!$A$3:$E$52,2,0)</f>
        <v>71</v>
      </c>
      <c r="AC16" s="10"/>
      <c r="AD16" s="7"/>
      <c r="AE16" s="7"/>
      <c r="AF16" s="14"/>
      <c r="AG16" s="7"/>
      <c r="AH16" s="7"/>
      <c r="AI16" s="14"/>
      <c r="AJ16" s="7"/>
      <c r="AK16" s="7"/>
      <c r="AL16" s="14"/>
      <c r="AM16" s="7"/>
      <c r="AN16" s="7">
        <v>0</v>
      </c>
    </row>
    <row r="17" spans="2:40" x14ac:dyDescent="0.25">
      <c r="B17" s="7">
        <f t="shared" si="0"/>
        <v>10</v>
      </c>
      <c r="C17" s="7">
        <f t="shared" si="1"/>
        <v>199</v>
      </c>
      <c r="D17" s="10"/>
      <c r="E17" s="16" t="s">
        <v>156</v>
      </c>
      <c r="F17" s="16" t="s">
        <v>98</v>
      </c>
      <c r="G17" s="10"/>
      <c r="H17" s="7">
        <v>100</v>
      </c>
      <c r="I17" s="7">
        <f t="shared" si="2"/>
        <v>16</v>
      </c>
      <c r="J17" s="7">
        <f>VLOOKUP(I17,'Место-баллы'!$A$3:$E$52,2,0)</f>
        <v>55</v>
      </c>
      <c r="K17" s="10"/>
      <c r="L17" s="7">
        <v>8</v>
      </c>
      <c r="M17" s="7">
        <v>5</v>
      </c>
      <c r="N17" s="14">
        <f t="shared" si="3"/>
        <v>5.6134259259259271E-3</v>
      </c>
      <c r="O17" s="7">
        <f>614+21</f>
        <v>635</v>
      </c>
      <c r="P17" s="7">
        <f t="shared" si="4"/>
        <v>479</v>
      </c>
      <c r="Q17" s="14">
        <f t="shared" si="5"/>
        <v>1.1157407407407409E-2</v>
      </c>
      <c r="R17" s="7">
        <f t="shared" si="6"/>
        <v>7</v>
      </c>
      <c r="S17" s="7">
        <f>VLOOKUP(R17,'Место-баллы'!$A$3:$E$52,2,0)</f>
        <v>73</v>
      </c>
      <c r="T17" s="10"/>
      <c r="U17" s="7">
        <v>12</v>
      </c>
      <c r="V17" s="7">
        <v>5</v>
      </c>
      <c r="W17" s="14">
        <f t="shared" si="7"/>
        <v>8.3912037037037045E-3</v>
      </c>
      <c r="X17" s="7">
        <v>98</v>
      </c>
      <c r="Y17" s="7">
        <f t="shared" si="8"/>
        <v>14</v>
      </c>
      <c r="Z17" s="14">
        <f t="shared" si="9"/>
        <v>8.5532407407407415E-3</v>
      </c>
      <c r="AA17" s="7">
        <f t="shared" si="10"/>
        <v>8</v>
      </c>
      <c r="AB17" s="7">
        <f>VLOOKUP(AA17,'Место-баллы'!$A$3:$E$52,2,0)</f>
        <v>71</v>
      </c>
      <c r="AC17" s="10"/>
      <c r="AD17" s="7"/>
      <c r="AE17" s="7"/>
      <c r="AF17" s="14"/>
      <c r="AG17" s="7"/>
      <c r="AH17" s="7"/>
      <c r="AI17" s="14"/>
      <c r="AJ17" s="7"/>
      <c r="AK17" s="7"/>
      <c r="AL17" s="14"/>
      <c r="AM17" s="7"/>
      <c r="AN17" s="7">
        <v>0</v>
      </c>
    </row>
    <row r="18" spans="2:40" x14ac:dyDescent="0.25">
      <c r="B18" s="7">
        <f t="shared" si="0"/>
        <v>11</v>
      </c>
      <c r="C18" s="7">
        <f t="shared" si="1"/>
        <v>191</v>
      </c>
      <c r="D18" s="10"/>
      <c r="E18" s="16" t="s">
        <v>149</v>
      </c>
      <c r="F18" s="16"/>
      <c r="G18" s="10"/>
      <c r="H18" s="7">
        <v>120</v>
      </c>
      <c r="I18" s="7">
        <f t="shared" si="2"/>
        <v>8</v>
      </c>
      <c r="J18" s="7">
        <f>VLOOKUP(I18,'Место-баллы'!$A$3:$E$52,2,0)</f>
        <v>71</v>
      </c>
      <c r="K18" s="10"/>
      <c r="L18" s="7">
        <v>8</v>
      </c>
      <c r="M18" s="7">
        <v>5</v>
      </c>
      <c r="N18" s="14">
        <f t="shared" si="3"/>
        <v>5.6134259259259271E-3</v>
      </c>
      <c r="O18" s="7">
        <v>591</v>
      </c>
      <c r="P18" s="7">
        <f t="shared" si="4"/>
        <v>523</v>
      </c>
      <c r="Q18" s="14">
        <f t="shared" si="5"/>
        <v>1.1666666666666669E-2</v>
      </c>
      <c r="R18" s="7">
        <f t="shared" si="6"/>
        <v>11</v>
      </c>
      <c r="S18" s="7">
        <f>VLOOKUP(R18,'Место-баллы'!$A$3:$E$52,2,0)</f>
        <v>65</v>
      </c>
      <c r="T18" s="10"/>
      <c r="U18" s="7">
        <v>12</v>
      </c>
      <c r="V18" s="7">
        <v>5</v>
      </c>
      <c r="W18" s="14">
        <f t="shared" si="7"/>
        <v>8.3912037037037045E-3</v>
      </c>
      <c r="X18" s="7">
        <v>70</v>
      </c>
      <c r="Y18" s="7">
        <f t="shared" si="8"/>
        <v>42</v>
      </c>
      <c r="Z18" s="14">
        <f t="shared" si="9"/>
        <v>8.8773148148148153E-3</v>
      </c>
      <c r="AA18" s="7">
        <f t="shared" si="10"/>
        <v>16</v>
      </c>
      <c r="AB18" s="7">
        <f>VLOOKUP(AA18,'Место-баллы'!$A$3:$E$52,2,0)</f>
        <v>55</v>
      </c>
      <c r="AC18" s="10"/>
      <c r="AD18" s="7"/>
      <c r="AE18" s="7"/>
      <c r="AF18" s="14"/>
      <c r="AG18" s="7"/>
      <c r="AH18" s="7"/>
      <c r="AI18" s="14"/>
      <c r="AJ18" s="7"/>
      <c r="AK18" s="7"/>
      <c r="AL18" s="14"/>
      <c r="AM18" s="7"/>
      <c r="AN18" s="7">
        <v>0</v>
      </c>
    </row>
    <row r="19" spans="2:40" x14ac:dyDescent="0.25">
      <c r="B19" s="7">
        <f t="shared" si="0"/>
        <v>12</v>
      </c>
      <c r="C19" s="7">
        <f t="shared" si="1"/>
        <v>177</v>
      </c>
      <c r="D19" s="10"/>
      <c r="E19" s="16" t="s">
        <v>163</v>
      </c>
      <c r="F19" s="16"/>
      <c r="G19" s="10"/>
      <c r="H19" s="7">
        <v>105</v>
      </c>
      <c r="I19" s="7">
        <f t="shared" si="2"/>
        <v>14</v>
      </c>
      <c r="J19" s="7">
        <f>VLOOKUP(I19,'Место-баллы'!$A$3:$E$52,2,0)</f>
        <v>59</v>
      </c>
      <c r="K19" s="10"/>
      <c r="L19" s="7">
        <v>8</v>
      </c>
      <c r="M19" s="7">
        <v>5</v>
      </c>
      <c r="N19" s="14">
        <f t="shared" si="3"/>
        <v>5.6134259259259271E-3</v>
      </c>
      <c r="O19" s="7">
        <v>590</v>
      </c>
      <c r="P19" s="7">
        <f t="shared" si="4"/>
        <v>524</v>
      </c>
      <c r="Q19" s="14">
        <f t="shared" si="5"/>
        <v>1.1678240740740743E-2</v>
      </c>
      <c r="R19" s="7">
        <f t="shared" si="6"/>
        <v>12</v>
      </c>
      <c r="S19" s="7">
        <f>VLOOKUP(R19,'Место-баллы'!$A$3:$E$52,2,0)</f>
        <v>63</v>
      </c>
      <c r="T19" s="10"/>
      <c r="U19" s="7">
        <v>12</v>
      </c>
      <c r="V19" s="7">
        <v>5</v>
      </c>
      <c r="W19" s="14">
        <f t="shared" si="7"/>
        <v>8.3912037037037045E-3</v>
      </c>
      <c r="X19" s="7">
        <v>70</v>
      </c>
      <c r="Y19" s="7">
        <f t="shared" si="8"/>
        <v>42</v>
      </c>
      <c r="Z19" s="14">
        <f t="shared" si="9"/>
        <v>8.8773148148148153E-3</v>
      </c>
      <c r="AA19" s="7">
        <f t="shared" si="10"/>
        <v>16</v>
      </c>
      <c r="AB19" s="7">
        <f>VLOOKUP(AA19,'Место-баллы'!$A$3:$E$52,2,0)</f>
        <v>55</v>
      </c>
      <c r="AC19" s="10"/>
      <c r="AD19" s="7"/>
      <c r="AE19" s="7"/>
      <c r="AF19" s="14"/>
      <c r="AG19" s="7"/>
      <c r="AH19" s="7"/>
      <c r="AI19" s="14"/>
      <c r="AJ19" s="7"/>
      <c r="AK19" s="7"/>
      <c r="AL19" s="14"/>
      <c r="AM19" s="7"/>
      <c r="AN19" s="7">
        <v>0</v>
      </c>
    </row>
    <row r="20" spans="2:40" x14ac:dyDescent="0.25">
      <c r="B20" s="7">
        <f t="shared" si="0"/>
        <v>13</v>
      </c>
      <c r="C20" s="7">
        <f t="shared" si="1"/>
        <v>176</v>
      </c>
      <c r="D20" s="10"/>
      <c r="E20" s="16" t="s">
        <v>152</v>
      </c>
      <c r="F20" s="16"/>
      <c r="G20" s="10"/>
      <c r="H20" s="7">
        <v>122</v>
      </c>
      <c r="I20" s="7">
        <f t="shared" si="2"/>
        <v>5</v>
      </c>
      <c r="J20" s="7">
        <f>VLOOKUP(I20,'Место-баллы'!$A$3:$E$52,2,0)</f>
        <v>80</v>
      </c>
      <c r="K20" s="10"/>
      <c r="L20" s="7">
        <v>8</v>
      </c>
      <c r="M20" s="7">
        <v>5</v>
      </c>
      <c r="N20" s="14">
        <f t="shared" si="3"/>
        <v>5.6134259259259271E-3</v>
      </c>
      <c r="O20" s="7">
        <v>560</v>
      </c>
      <c r="P20" s="7">
        <f t="shared" si="4"/>
        <v>554</v>
      </c>
      <c r="Q20" s="14">
        <f t="shared" si="5"/>
        <v>1.2025462962962963E-2</v>
      </c>
      <c r="R20" s="7">
        <f t="shared" si="6"/>
        <v>19</v>
      </c>
      <c r="S20" s="7">
        <f>VLOOKUP(R20,'Место-баллы'!$A$3:$E$52,2,0)</f>
        <v>49</v>
      </c>
      <c r="T20" s="10"/>
      <c r="U20" s="7">
        <v>12</v>
      </c>
      <c r="V20" s="7">
        <v>5</v>
      </c>
      <c r="W20" s="14">
        <f t="shared" si="7"/>
        <v>8.3912037037037045E-3</v>
      </c>
      <c r="X20" s="7">
        <v>56</v>
      </c>
      <c r="Y20" s="7">
        <f t="shared" si="8"/>
        <v>56</v>
      </c>
      <c r="Z20" s="14">
        <f t="shared" si="9"/>
        <v>9.0393518518518522E-3</v>
      </c>
      <c r="AA20" s="7">
        <f t="shared" si="10"/>
        <v>20</v>
      </c>
      <c r="AB20" s="7">
        <f>VLOOKUP(AA20,'Место-баллы'!$A$3:$E$52,2,0)</f>
        <v>47</v>
      </c>
      <c r="AC20" s="10"/>
      <c r="AD20" s="7"/>
      <c r="AE20" s="7"/>
      <c r="AF20" s="14"/>
      <c r="AG20" s="7"/>
      <c r="AH20" s="7"/>
      <c r="AI20" s="14"/>
      <c r="AJ20" s="7"/>
      <c r="AK20" s="7"/>
      <c r="AL20" s="14"/>
      <c r="AM20" s="7"/>
      <c r="AN20" s="7">
        <v>0</v>
      </c>
    </row>
    <row r="21" spans="2:40" x14ac:dyDescent="0.25">
      <c r="B21" s="7">
        <f t="shared" si="0"/>
        <v>14</v>
      </c>
      <c r="C21" s="7">
        <f t="shared" si="1"/>
        <v>175</v>
      </c>
      <c r="D21" s="10"/>
      <c r="E21" s="16" t="s">
        <v>161</v>
      </c>
      <c r="F21" s="16"/>
      <c r="G21" s="10"/>
      <c r="H21" s="7">
        <v>107</v>
      </c>
      <c r="I21" s="7">
        <f t="shared" si="2"/>
        <v>13</v>
      </c>
      <c r="J21" s="7">
        <f>VLOOKUP(I21,'Место-баллы'!$A$3:$E$52,2,0)</f>
        <v>61</v>
      </c>
      <c r="K21" s="10"/>
      <c r="L21" s="7">
        <v>8</v>
      </c>
      <c r="M21" s="7">
        <v>5</v>
      </c>
      <c r="N21" s="14">
        <f t="shared" si="3"/>
        <v>5.6134259259259271E-3</v>
      </c>
      <c r="O21" s="7">
        <v>572</v>
      </c>
      <c r="P21" s="7">
        <f t="shared" si="4"/>
        <v>542</v>
      </c>
      <c r="Q21" s="14">
        <f t="shared" si="5"/>
        <v>1.1886574074074075E-2</v>
      </c>
      <c r="R21" s="7">
        <f t="shared" si="6"/>
        <v>16</v>
      </c>
      <c r="S21" s="7">
        <f>VLOOKUP(R21,'Место-баллы'!$A$3:$E$52,2,0)</f>
        <v>55</v>
      </c>
      <c r="T21" s="10"/>
      <c r="U21" s="7">
        <v>12</v>
      </c>
      <c r="V21" s="7">
        <v>5</v>
      </c>
      <c r="W21" s="14">
        <f t="shared" si="7"/>
        <v>8.3912037037037045E-3</v>
      </c>
      <c r="X21" s="7">
        <v>84</v>
      </c>
      <c r="Y21" s="7">
        <f t="shared" si="8"/>
        <v>28</v>
      </c>
      <c r="Z21" s="14">
        <f t="shared" si="9"/>
        <v>8.7152777777777784E-3</v>
      </c>
      <c r="AA21" s="7">
        <f t="shared" si="10"/>
        <v>14</v>
      </c>
      <c r="AB21" s="7">
        <f>VLOOKUP(AA21,'Место-баллы'!$A$3:$E$52,2,0)</f>
        <v>59</v>
      </c>
      <c r="AC21" s="10"/>
      <c r="AD21" s="7"/>
      <c r="AE21" s="7"/>
      <c r="AF21" s="14"/>
      <c r="AG21" s="7"/>
      <c r="AH21" s="7"/>
      <c r="AI21" s="14"/>
      <c r="AJ21" s="7"/>
      <c r="AK21" s="7"/>
      <c r="AL21" s="14"/>
      <c r="AM21" s="7"/>
      <c r="AN21" s="7">
        <v>0</v>
      </c>
    </row>
    <row r="22" spans="2:40" x14ac:dyDescent="0.25">
      <c r="B22" s="7">
        <f t="shared" si="0"/>
        <v>14</v>
      </c>
      <c r="C22" s="7">
        <f t="shared" si="1"/>
        <v>175</v>
      </c>
      <c r="D22" s="10"/>
      <c r="E22" s="16" t="s">
        <v>146</v>
      </c>
      <c r="F22" s="16" t="s">
        <v>130</v>
      </c>
      <c r="G22" s="10"/>
      <c r="H22" s="7">
        <v>93</v>
      </c>
      <c r="I22" s="7">
        <f t="shared" si="2"/>
        <v>20</v>
      </c>
      <c r="J22" s="7">
        <f>VLOOKUP(I22,'Место-баллы'!$A$3:$E$52,2,0)</f>
        <v>47</v>
      </c>
      <c r="K22" s="10"/>
      <c r="L22" s="7">
        <v>8</v>
      </c>
      <c r="M22" s="7">
        <v>5</v>
      </c>
      <c r="N22" s="14">
        <f t="shared" si="3"/>
        <v>5.6134259259259271E-3</v>
      </c>
      <c r="O22" s="7">
        <v>607</v>
      </c>
      <c r="P22" s="7">
        <f t="shared" si="4"/>
        <v>507</v>
      </c>
      <c r="Q22" s="14">
        <f t="shared" si="5"/>
        <v>1.1481481481481481E-2</v>
      </c>
      <c r="R22" s="7">
        <f t="shared" si="6"/>
        <v>9</v>
      </c>
      <c r="S22" s="7">
        <f>VLOOKUP(R22,'Место-баллы'!$A$3:$E$52,2,0)</f>
        <v>69</v>
      </c>
      <c r="T22" s="10"/>
      <c r="U22" s="7">
        <v>12</v>
      </c>
      <c r="V22" s="7">
        <v>5</v>
      </c>
      <c r="W22" s="14">
        <f t="shared" si="7"/>
        <v>8.3912037037037045E-3</v>
      </c>
      <c r="X22" s="7">
        <v>84</v>
      </c>
      <c r="Y22" s="7">
        <f t="shared" si="8"/>
        <v>28</v>
      </c>
      <c r="Z22" s="14">
        <f t="shared" si="9"/>
        <v>8.7152777777777784E-3</v>
      </c>
      <c r="AA22" s="7">
        <f t="shared" si="10"/>
        <v>14</v>
      </c>
      <c r="AB22" s="7">
        <f>VLOOKUP(AA22,'Место-баллы'!$A$3:$E$52,2,0)</f>
        <v>59</v>
      </c>
      <c r="AC22" s="10"/>
      <c r="AD22" s="7"/>
      <c r="AE22" s="7"/>
      <c r="AF22" s="14"/>
      <c r="AG22" s="7"/>
      <c r="AH22" s="7"/>
      <c r="AI22" s="14"/>
      <c r="AJ22" s="7"/>
      <c r="AK22" s="7"/>
      <c r="AL22" s="14"/>
      <c r="AM22" s="7"/>
      <c r="AN22" s="7">
        <v>0</v>
      </c>
    </row>
    <row r="23" spans="2:40" x14ac:dyDescent="0.25">
      <c r="B23" s="7">
        <f t="shared" si="0"/>
        <v>16</v>
      </c>
      <c r="C23" s="7">
        <f t="shared" si="1"/>
        <v>169</v>
      </c>
      <c r="D23" s="10"/>
      <c r="E23" s="16" t="s">
        <v>155</v>
      </c>
      <c r="F23" s="16"/>
      <c r="G23" s="10"/>
      <c r="H23" s="7">
        <v>95</v>
      </c>
      <c r="I23" s="7">
        <f t="shared" si="2"/>
        <v>19</v>
      </c>
      <c r="J23" s="7">
        <f>VLOOKUP(I23,'Место-баллы'!$A$3:$E$52,2,0)</f>
        <v>49</v>
      </c>
      <c r="K23" s="10"/>
      <c r="L23" s="7">
        <v>8</v>
      </c>
      <c r="M23" s="7">
        <v>5</v>
      </c>
      <c r="N23" s="14">
        <f t="shared" si="3"/>
        <v>5.6134259259259271E-3</v>
      </c>
      <c r="O23" s="7">
        <f>572+7</f>
        <v>579</v>
      </c>
      <c r="P23" s="7">
        <f t="shared" si="4"/>
        <v>535</v>
      </c>
      <c r="Q23" s="14">
        <f t="shared" si="5"/>
        <v>1.1805555555555557E-2</v>
      </c>
      <c r="R23" s="7">
        <f t="shared" si="6"/>
        <v>14</v>
      </c>
      <c r="S23" s="7">
        <f>VLOOKUP(R23,'Место-баллы'!$A$3:$E$52,2,0)</f>
        <v>59</v>
      </c>
      <c r="T23" s="10"/>
      <c r="U23" s="7">
        <v>12</v>
      </c>
      <c r="V23" s="7">
        <v>5</v>
      </c>
      <c r="W23" s="14">
        <f t="shared" si="7"/>
        <v>8.3912037037037045E-3</v>
      </c>
      <c r="X23" s="7">
        <v>87</v>
      </c>
      <c r="Y23" s="7">
        <f t="shared" si="8"/>
        <v>25</v>
      </c>
      <c r="Z23" s="14">
        <f t="shared" si="9"/>
        <v>8.6805555555555559E-3</v>
      </c>
      <c r="AA23" s="7">
        <f t="shared" si="10"/>
        <v>13</v>
      </c>
      <c r="AB23" s="7">
        <f>VLOOKUP(AA23,'Место-баллы'!$A$3:$E$52,2,0)</f>
        <v>61</v>
      </c>
      <c r="AC23" s="10"/>
      <c r="AD23" s="7"/>
      <c r="AE23" s="7"/>
      <c r="AF23" s="14"/>
      <c r="AG23" s="7"/>
      <c r="AH23" s="7"/>
      <c r="AI23" s="14"/>
      <c r="AJ23" s="7"/>
      <c r="AK23" s="7"/>
      <c r="AL23" s="14"/>
      <c r="AM23" s="7"/>
      <c r="AN23" s="7">
        <v>0</v>
      </c>
    </row>
    <row r="24" spans="2:40" x14ac:dyDescent="0.25">
      <c r="B24" s="7">
        <f t="shared" si="0"/>
        <v>16</v>
      </c>
      <c r="C24" s="7">
        <f t="shared" si="1"/>
        <v>169</v>
      </c>
      <c r="D24" s="10"/>
      <c r="E24" s="16" t="s">
        <v>147</v>
      </c>
      <c r="F24" s="16"/>
      <c r="G24" s="10"/>
      <c r="H24" s="7">
        <v>115</v>
      </c>
      <c r="I24" s="7">
        <f t="shared" si="2"/>
        <v>9</v>
      </c>
      <c r="J24" s="7">
        <f>VLOOKUP(I24,'Место-баллы'!$A$3:$E$52,2,0)</f>
        <v>69</v>
      </c>
      <c r="K24" s="10"/>
      <c r="L24" s="7">
        <v>8</v>
      </c>
      <c r="M24" s="7">
        <v>5</v>
      </c>
      <c r="N24" s="14">
        <f t="shared" si="3"/>
        <v>5.6134259259259271E-3</v>
      </c>
      <c r="O24" s="7">
        <f>554+17</f>
        <v>571</v>
      </c>
      <c r="P24" s="7">
        <f t="shared" si="4"/>
        <v>543</v>
      </c>
      <c r="Q24" s="14">
        <f t="shared" si="5"/>
        <v>1.1898148148148151E-2</v>
      </c>
      <c r="R24" s="7">
        <f t="shared" si="6"/>
        <v>17</v>
      </c>
      <c r="S24" s="7">
        <f>VLOOKUP(R24,'Место-баллы'!$A$3:$E$52,2,0)</f>
        <v>53</v>
      </c>
      <c r="T24" s="10"/>
      <c r="U24" s="7">
        <v>12</v>
      </c>
      <c r="V24" s="7">
        <v>5</v>
      </c>
      <c r="W24" s="14">
        <f t="shared" si="7"/>
        <v>8.3912037037037045E-3</v>
      </c>
      <c r="X24" s="7">
        <v>56</v>
      </c>
      <c r="Y24" s="7">
        <f t="shared" si="8"/>
        <v>56</v>
      </c>
      <c r="Z24" s="14">
        <f t="shared" si="9"/>
        <v>9.0393518518518522E-3</v>
      </c>
      <c r="AA24" s="7">
        <f t="shared" si="10"/>
        <v>20</v>
      </c>
      <c r="AB24" s="7">
        <f>VLOOKUP(AA24,'Место-баллы'!$A$3:$E$52,2,0)</f>
        <v>47</v>
      </c>
      <c r="AC24" s="10"/>
      <c r="AD24" s="7"/>
      <c r="AE24" s="7"/>
      <c r="AF24" s="14"/>
      <c r="AG24" s="7"/>
      <c r="AH24" s="7"/>
      <c r="AI24" s="14"/>
      <c r="AJ24" s="7"/>
      <c r="AK24" s="7"/>
      <c r="AL24" s="14"/>
      <c r="AM24" s="7"/>
      <c r="AN24" s="7">
        <v>0</v>
      </c>
    </row>
    <row r="25" spans="2:40" x14ac:dyDescent="0.25">
      <c r="B25" s="7">
        <f t="shared" si="0"/>
        <v>18</v>
      </c>
      <c r="C25" s="7">
        <f t="shared" si="1"/>
        <v>167</v>
      </c>
      <c r="D25" s="10"/>
      <c r="E25" s="16" t="s">
        <v>154</v>
      </c>
      <c r="F25" s="16"/>
      <c r="G25" s="10"/>
      <c r="H25" s="7">
        <v>90</v>
      </c>
      <c r="I25" s="7">
        <f t="shared" si="2"/>
        <v>21</v>
      </c>
      <c r="J25" s="7">
        <f>VLOOKUP(I25,'Место-баллы'!$A$3:$E$52,2,0)</f>
        <v>45</v>
      </c>
      <c r="K25" s="10"/>
      <c r="L25" s="7">
        <v>8</v>
      </c>
      <c r="M25" s="7">
        <v>5</v>
      </c>
      <c r="N25" s="14">
        <f t="shared" si="3"/>
        <v>5.6134259259259271E-3</v>
      </c>
      <c r="O25" s="7">
        <f>554+11</f>
        <v>565</v>
      </c>
      <c r="P25" s="7">
        <f t="shared" si="4"/>
        <v>549</v>
      </c>
      <c r="Q25" s="14">
        <f t="shared" si="5"/>
        <v>1.1967592592592594E-2</v>
      </c>
      <c r="R25" s="7">
        <f t="shared" si="6"/>
        <v>18</v>
      </c>
      <c r="S25" s="7">
        <f>VLOOKUP(R25,'Место-баллы'!$A$3:$E$52,2,0)</f>
        <v>51</v>
      </c>
      <c r="T25" s="10"/>
      <c r="U25" s="7">
        <v>12</v>
      </c>
      <c r="V25" s="7">
        <v>5</v>
      </c>
      <c r="W25" s="14">
        <f t="shared" si="7"/>
        <v>8.3912037037037045E-3</v>
      </c>
      <c r="X25" s="7">
        <v>98</v>
      </c>
      <c r="Y25" s="7">
        <f t="shared" si="8"/>
        <v>14</v>
      </c>
      <c r="Z25" s="14">
        <f t="shared" si="9"/>
        <v>8.5532407407407415E-3</v>
      </c>
      <c r="AA25" s="7">
        <f t="shared" si="10"/>
        <v>8</v>
      </c>
      <c r="AB25" s="7">
        <f>VLOOKUP(AA25,'Место-баллы'!$A$3:$E$52,2,0)</f>
        <v>71</v>
      </c>
      <c r="AC25" s="10"/>
      <c r="AD25" s="7"/>
      <c r="AE25" s="7"/>
      <c r="AF25" s="14"/>
      <c r="AG25" s="7"/>
      <c r="AH25" s="7"/>
      <c r="AI25" s="14"/>
      <c r="AJ25" s="7"/>
      <c r="AK25" s="7"/>
      <c r="AL25" s="14"/>
      <c r="AM25" s="7"/>
      <c r="AN25" s="7">
        <v>0</v>
      </c>
    </row>
    <row r="26" spans="2:40" x14ac:dyDescent="0.25">
      <c r="B26" s="7">
        <f t="shared" si="0"/>
        <v>19</v>
      </c>
      <c r="C26" s="7">
        <f t="shared" si="1"/>
        <v>163</v>
      </c>
      <c r="D26" s="10"/>
      <c r="E26" s="19" t="s">
        <v>164</v>
      </c>
      <c r="F26" s="16" t="s">
        <v>98</v>
      </c>
      <c r="G26" s="10"/>
      <c r="H26" s="7">
        <v>100</v>
      </c>
      <c r="I26" s="7">
        <f t="shared" si="2"/>
        <v>16</v>
      </c>
      <c r="J26" s="7">
        <f>VLOOKUP(I26,'Место-баллы'!$A$3:$E$52,2,0)</f>
        <v>55</v>
      </c>
      <c r="K26" s="10"/>
      <c r="L26" s="7">
        <v>8</v>
      </c>
      <c r="M26" s="7">
        <v>5</v>
      </c>
      <c r="N26" s="14">
        <f t="shared" si="3"/>
        <v>5.6134259259259271E-3</v>
      </c>
      <c r="O26" s="7">
        <v>497</v>
      </c>
      <c r="P26" s="7">
        <f t="shared" si="4"/>
        <v>617</v>
      </c>
      <c r="Q26" s="14">
        <f t="shared" si="5"/>
        <v>1.2754629629629631E-2</v>
      </c>
      <c r="R26" s="7">
        <f t="shared" si="6"/>
        <v>21</v>
      </c>
      <c r="S26" s="7">
        <f>VLOOKUP(R26,'Место-баллы'!$A$3:$E$52,2,0)</f>
        <v>45</v>
      </c>
      <c r="T26" s="10"/>
      <c r="U26" s="7">
        <v>12</v>
      </c>
      <c r="V26" s="7">
        <v>5</v>
      </c>
      <c r="W26" s="14">
        <f t="shared" si="7"/>
        <v>8.3912037037037045E-3</v>
      </c>
      <c r="X26" s="7">
        <v>97</v>
      </c>
      <c r="Y26" s="7">
        <f t="shared" si="8"/>
        <v>15</v>
      </c>
      <c r="Z26" s="14">
        <f t="shared" si="9"/>
        <v>8.564814814814815E-3</v>
      </c>
      <c r="AA26" s="7">
        <f t="shared" si="10"/>
        <v>12</v>
      </c>
      <c r="AB26" s="7">
        <f>VLOOKUP(AA26,'Место-баллы'!$A$3:$E$52,2,0)</f>
        <v>63</v>
      </c>
      <c r="AC26" s="10"/>
      <c r="AD26" s="7"/>
      <c r="AE26" s="7"/>
      <c r="AF26" s="14"/>
      <c r="AG26" s="7"/>
      <c r="AH26" s="7"/>
      <c r="AI26" s="14"/>
      <c r="AJ26" s="7"/>
      <c r="AK26" s="7"/>
      <c r="AL26" s="14"/>
      <c r="AM26" s="7"/>
      <c r="AN26" s="7">
        <v>0</v>
      </c>
    </row>
    <row r="27" spans="2:40" x14ac:dyDescent="0.25">
      <c r="B27" s="7">
        <f t="shared" si="0"/>
        <v>19</v>
      </c>
      <c r="C27" s="7">
        <f t="shared" si="1"/>
        <v>163</v>
      </c>
      <c r="D27" s="10"/>
      <c r="E27" s="16" t="s">
        <v>157</v>
      </c>
      <c r="F27" s="16" t="s">
        <v>98</v>
      </c>
      <c r="G27" s="10"/>
      <c r="H27" s="7">
        <v>97</v>
      </c>
      <c r="I27" s="7">
        <f t="shared" si="2"/>
        <v>18</v>
      </c>
      <c r="J27" s="7">
        <f>VLOOKUP(I27,'Место-баллы'!$A$3:$E$52,2,0)</f>
        <v>51</v>
      </c>
      <c r="K27" s="10"/>
      <c r="L27" s="7">
        <v>8</v>
      </c>
      <c r="M27" s="7">
        <v>5</v>
      </c>
      <c r="N27" s="14">
        <f t="shared" si="3"/>
        <v>5.6134259259259271E-3</v>
      </c>
      <c r="O27" s="7">
        <v>577</v>
      </c>
      <c r="P27" s="7">
        <f t="shared" si="4"/>
        <v>537</v>
      </c>
      <c r="Q27" s="14">
        <f t="shared" si="5"/>
        <v>1.1828703703703704E-2</v>
      </c>
      <c r="R27" s="7">
        <f t="shared" si="6"/>
        <v>15</v>
      </c>
      <c r="S27" s="7">
        <f>VLOOKUP(R27,'Место-баллы'!$A$3:$E$52,2,0)</f>
        <v>57</v>
      </c>
      <c r="T27" s="10"/>
      <c r="U27" s="7">
        <v>12</v>
      </c>
      <c r="V27" s="7">
        <v>5</v>
      </c>
      <c r="W27" s="14">
        <f t="shared" si="7"/>
        <v>8.3912037037037045E-3</v>
      </c>
      <c r="X27" s="7">
        <v>70</v>
      </c>
      <c r="Y27" s="7">
        <f t="shared" si="8"/>
        <v>42</v>
      </c>
      <c r="Z27" s="14">
        <f t="shared" si="9"/>
        <v>8.8773148148148153E-3</v>
      </c>
      <c r="AA27" s="7">
        <f t="shared" si="10"/>
        <v>16</v>
      </c>
      <c r="AB27" s="7">
        <f>VLOOKUP(AA27,'Место-баллы'!$A$3:$E$52,2,0)</f>
        <v>55</v>
      </c>
      <c r="AC27" s="10"/>
      <c r="AD27" s="7"/>
      <c r="AE27" s="7"/>
      <c r="AF27" s="14"/>
      <c r="AG27" s="7"/>
      <c r="AH27" s="7"/>
      <c r="AI27" s="14"/>
      <c r="AJ27" s="7"/>
      <c r="AK27" s="7"/>
      <c r="AL27" s="14"/>
      <c r="AM27" s="7"/>
      <c r="AN27" s="7">
        <v>0</v>
      </c>
    </row>
    <row r="28" spans="2:40" x14ac:dyDescent="0.25">
      <c r="B28" s="7">
        <f t="shared" si="0"/>
        <v>21</v>
      </c>
      <c r="C28" s="7">
        <f t="shared" si="1"/>
        <v>161</v>
      </c>
      <c r="D28" s="10"/>
      <c r="E28" s="16" t="s">
        <v>158</v>
      </c>
      <c r="F28" s="16"/>
      <c r="G28" s="10"/>
      <c r="H28" s="7">
        <v>105</v>
      </c>
      <c r="I28" s="7">
        <f t="shared" si="2"/>
        <v>14</v>
      </c>
      <c r="J28" s="7">
        <f>VLOOKUP(I28,'Место-баллы'!$A$3:$E$52,2,0)</f>
        <v>59</v>
      </c>
      <c r="K28" s="10"/>
      <c r="L28" s="7">
        <v>8</v>
      </c>
      <c r="M28" s="7">
        <v>5</v>
      </c>
      <c r="N28" s="14">
        <f t="shared" si="3"/>
        <v>5.6134259259259271E-3</v>
      </c>
      <c r="O28" s="7">
        <v>557</v>
      </c>
      <c r="P28" s="7">
        <f t="shared" si="4"/>
        <v>557</v>
      </c>
      <c r="Q28" s="14">
        <f t="shared" si="5"/>
        <v>1.2060185185185188E-2</v>
      </c>
      <c r="R28" s="7">
        <f t="shared" si="6"/>
        <v>20</v>
      </c>
      <c r="S28" s="7">
        <f>VLOOKUP(R28,'Место-баллы'!$A$3:$E$52,2,0)</f>
        <v>47</v>
      </c>
      <c r="T28" s="10"/>
      <c r="U28" s="7">
        <v>12</v>
      </c>
      <c r="V28" s="7">
        <v>5</v>
      </c>
      <c r="W28" s="14">
        <f t="shared" si="7"/>
        <v>8.3912037037037045E-3</v>
      </c>
      <c r="X28" s="7">
        <v>70</v>
      </c>
      <c r="Y28" s="7">
        <f t="shared" si="8"/>
        <v>42</v>
      </c>
      <c r="Z28" s="14">
        <f t="shared" si="9"/>
        <v>8.8773148148148153E-3</v>
      </c>
      <c r="AA28" s="7">
        <f t="shared" si="10"/>
        <v>16</v>
      </c>
      <c r="AB28" s="7">
        <f>VLOOKUP(AA28,'Место-баллы'!$A$3:$E$52,2,0)</f>
        <v>55</v>
      </c>
      <c r="AC28" s="10"/>
      <c r="AD28" s="7"/>
      <c r="AE28" s="7"/>
      <c r="AF28" s="14"/>
      <c r="AG28" s="7"/>
      <c r="AH28" s="7"/>
      <c r="AI28" s="14"/>
      <c r="AJ28" s="7"/>
      <c r="AK28" s="7"/>
      <c r="AL28" s="14"/>
      <c r="AM28" s="7"/>
      <c r="AN28" s="7">
        <v>0</v>
      </c>
    </row>
    <row r="29" spans="2:40" ht="15.75" customHeight="1" x14ac:dyDescent="0.25"/>
    <row r="30" spans="2:40" ht="15.75" customHeight="1" x14ac:dyDescent="0.25"/>
    <row r="31" spans="2:40" ht="15.75" customHeight="1" x14ac:dyDescent="0.25"/>
    <row r="32" spans="2:40" ht="15.75" customHeight="1" x14ac:dyDescent="0.25"/>
    <row r="33" ht="15.75" customHeight="1" x14ac:dyDescent="0.25"/>
    <row r="34" ht="15.75" customHeight="1" x14ac:dyDescent="0.25"/>
  </sheetData>
  <autoFilter ref="B7:AN7" xr:uid="{BB05EB8A-40BA-4701-90CF-C1458C031C29}">
    <sortState xmlns:xlrd2="http://schemas.microsoft.com/office/spreadsheetml/2017/richdata2" ref="B8:AN28">
      <sortCondition ref="B7"/>
    </sortState>
  </autoFilter>
  <mergeCells count="6">
    <mergeCell ref="AD5:AN6"/>
    <mergeCell ref="B5:C6"/>
    <mergeCell ref="E5:F6"/>
    <mergeCell ref="H5:J6"/>
    <mergeCell ref="L5:S6"/>
    <mergeCell ref="U5:AB6"/>
  </mergeCells>
  <printOptions horizontalCentered="1" verticalCentered="1"/>
  <pageMargins left="0" right="0" top="0" bottom="0" header="0" footer="0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17F1-716D-469A-8155-F70A5C7FAC7E}">
  <sheetPr>
    <pageSetUpPr fitToPage="1"/>
  </sheetPr>
  <dimension ref="B1:AN41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15" sqref="E15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2.28515625" bestFit="1" customWidth="1"/>
    <col min="6" max="6" width="20.710937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hidden="1" customWidth="1" outlineLevel="1"/>
    <col min="15" max="15" width="6.85546875" customWidth="1" collapsed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customWidth="1" collapsed="1"/>
    <col min="24" max="24" width="6.85546875" customWidth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9.140625" bestFit="1" customWidth="1" collapsed="1"/>
    <col min="33" max="33" width="5.140625" hidden="1" customWidth="1" outlineLevel="1"/>
    <col min="34" max="34" width="4.28515625" hidden="1" customWidth="1" outlineLevel="1"/>
    <col min="35" max="35" width="7.140625" customWidth="1" collapsed="1"/>
    <col min="36" max="36" width="6.85546875" customWidth="1"/>
    <col min="37" max="37" width="7.85546875" hidden="1" customWidth="1" outlineLevel="1"/>
    <col min="38" max="38" width="7.140625" hidden="1" customWidth="1" outlineLevel="1"/>
    <col min="39" max="39" width="7.140625" customWidth="1" collapsed="1"/>
    <col min="40" max="40" width="6.85546875" customWidth="1"/>
  </cols>
  <sheetData>
    <row r="1" spans="2:40" x14ac:dyDescent="0.25">
      <c r="E1" s="12"/>
      <c r="F1" s="12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U1" s="3"/>
      <c r="V1" s="3"/>
      <c r="W1" s="3"/>
      <c r="X1" s="3"/>
      <c r="Y1" s="3"/>
      <c r="Z1" s="3"/>
      <c r="AA1" s="3"/>
      <c r="AB1" s="4">
        <v>1</v>
      </c>
      <c r="AG1" s="3"/>
      <c r="AH1" s="3"/>
      <c r="AI1" s="3"/>
      <c r="AJ1" s="3"/>
      <c r="AK1" s="3"/>
      <c r="AL1" s="3"/>
      <c r="AM1" s="3"/>
      <c r="AN1" s="4">
        <v>1</v>
      </c>
    </row>
    <row r="2" spans="2:40" x14ac:dyDescent="0.25">
      <c r="E2" s="12"/>
      <c r="F2" s="12"/>
      <c r="H2" s="3"/>
      <c r="I2" s="3"/>
      <c r="J2" s="3"/>
      <c r="L2" s="3"/>
      <c r="M2" s="3"/>
      <c r="N2" s="3"/>
      <c r="O2" s="5">
        <v>814</v>
      </c>
      <c r="P2" s="3"/>
      <c r="Q2" s="3"/>
      <c r="R2" s="3"/>
      <c r="S2" s="3"/>
      <c r="U2" s="3"/>
      <c r="V2" s="3"/>
      <c r="W2" s="3"/>
      <c r="X2" s="5">
        <v>112</v>
      </c>
      <c r="Y2" s="3"/>
      <c r="Z2" s="3"/>
      <c r="AA2" s="3"/>
      <c r="AB2" s="3"/>
      <c r="AG2" s="3"/>
      <c r="AH2" s="3"/>
      <c r="AI2" s="3"/>
      <c r="AJ2" s="5">
        <v>200</v>
      </c>
      <c r="AK2" s="3"/>
      <c r="AL2" s="3"/>
      <c r="AM2" s="3"/>
      <c r="AN2" s="3"/>
    </row>
    <row r="3" spans="2:40" x14ac:dyDescent="0.25">
      <c r="E3" s="12"/>
      <c r="F3" s="12"/>
      <c r="H3" s="6"/>
      <c r="I3" s="3"/>
      <c r="J3" s="3"/>
      <c r="L3" s="3"/>
      <c r="M3" s="3"/>
      <c r="N3" s="3"/>
      <c r="O3" s="6" t="s">
        <v>47</v>
      </c>
      <c r="P3" s="3"/>
      <c r="Q3" s="3"/>
      <c r="R3" s="3"/>
      <c r="S3" s="3"/>
      <c r="U3" s="3"/>
      <c r="V3" s="3"/>
      <c r="W3" s="3"/>
      <c r="X3" s="6" t="s">
        <v>24</v>
      </c>
      <c r="Y3" s="3"/>
      <c r="Z3" s="3"/>
      <c r="AA3" s="3"/>
      <c r="AB3" s="3"/>
      <c r="AG3" s="3"/>
      <c r="AH3" s="3"/>
      <c r="AI3" s="3"/>
      <c r="AJ3" s="17" t="s">
        <v>221</v>
      </c>
      <c r="AK3" s="3"/>
      <c r="AL3" s="3"/>
      <c r="AM3" s="3"/>
      <c r="AN3" s="3"/>
    </row>
    <row r="4" spans="2:40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G4" s="3"/>
      <c r="AH4" s="3"/>
      <c r="AI4" s="3"/>
      <c r="AJ4" s="3"/>
      <c r="AK4" s="3"/>
      <c r="AL4" s="3"/>
      <c r="AM4" s="3"/>
      <c r="AN4" s="3"/>
    </row>
    <row r="5" spans="2:40" ht="15" customHeight="1" x14ac:dyDescent="0.25">
      <c r="B5" s="23" t="s">
        <v>4</v>
      </c>
      <c r="C5" s="24"/>
      <c r="D5" s="7"/>
      <c r="E5" s="25" t="s">
        <v>35</v>
      </c>
      <c r="F5" s="26"/>
      <c r="G5" s="7"/>
      <c r="H5" s="25" t="s">
        <v>22</v>
      </c>
      <c r="I5" s="29"/>
      <c r="J5" s="26"/>
      <c r="K5" s="7"/>
      <c r="L5" s="23" t="s">
        <v>23</v>
      </c>
      <c r="M5" s="24"/>
      <c r="N5" s="24"/>
      <c r="O5" s="24"/>
      <c r="P5" s="24"/>
      <c r="Q5" s="24"/>
      <c r="R5" s="24"/>
      <c r="S5" s="24"/>
      <c r="T5" s="7"/>
      <c r="U5" s="23" t="s">
        <v>5</v>
      </c>
      <c r="V5" s="24"/>
      <c r="W5" s="24"/>
      <c r="X5" s="24"/>
      <c r="Y5" s="24"/>
      <c r="Z5" s="24"/>
      <c r="AA5" s="24"/>
      <c r="AB5" s="24"/>
      <c r="AC5" s="7"/>
      <c r="AD5" s="25" t="s">
        <v>6</v>
      </c>
      <c r="AE5" s="29"/>
      <c r="AF5" s="29"/>
      <c r="AG5" s="29"/>
      <c r="AH5" s="29"/>
      <c r="AI5" s="29"/>
      <c r="AJ5" s="29"/>
      <c r="AK5" s="29"/>
      <c r="AL5" s="29"/>
      <c r="AM5" s="29"/>
      <c r="AN5" s="26"/>
    </row>
    <row r="6" spans="2:40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4"/>
      <c r="M6" s="24"/>
      <c r="N6" s="24"/>
      <c r="O6" s="24"/>
      <c r="P6" s="24"/>
      <c r="Q6" s="24"/>
      <c r="R6" s="24"/>
      <c r="S6" s="24"/>
      <c r="T6" s="8"/>
      <c r="U6" s="24"/>
      <c r="V6" s="24"/>
      <c r="W6" s="24"/>
      <c r="X6" s="24"/>
      <c r="Y6" s="24"/>
      <c r="Z6" s="24"/>
      <c r="AA6" s="24"/>
      <c r="AB6" s="24"/>
      <c r="AC6" s="8"/>
      <c r="AD6" s="27"/>
      <c r="AE6" s="30"/>
      <c r="AF6" s="30"/>
      <c r="AG6" s="30"/>
      <c r="AH6" s="30"/>
      <c r="AI6" s="30"/>
      <c r="AJ6" s="30"/>
      <c r="AK6" s="30"/>
      <c r="AL6" s="30"/>
      <c r="AM6" s="30"/>
      <c r="AN6" s="28"/>
    </row>
    <row r="7" spans="2:40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8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27</v>
      </c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</row>
    <row r="8" spans="2:40" x14ac:dyDescent="0.25">
      <c r="B8" s="7">
        <f>RANK(C8,C$8:C$12,0)</f>
        <v>1</v>
      </c>
      <c r="C8" s="7">
        <f>SUMIF($H$1:$AN$1,1,$H8:$AN8)</f>
        <v>390</v>
      </c>
      <c r="D8" s="10"/>
      <c r="E8" s="16" t="s">
        <v>137</v>
      </c>
      <c r="F8" s="13" t="s">
        <v>98</v>
      </c>
      <c r="G8" s="10"/>
      <c r="H8" s="7">
        <v>78</v>
      </c>
      <c r="I8" s="7">
        <f>RANK(H8,H$8:H$12,0)</f>
        <v>2</v>
      </c>
      <c r="J8" s="7">
        <f>VLOOKUP(I8,'Место-баллы'!$A$3:$E$52,2,0)</f>
        <v>95</v>
      </c>
      <c r="K8" s="10"/>
      <c r="L8" s="7">
        <v>8</v>
      </c>
      <c r="M8" s="7">
        <v>5</v>
      </c>
      <c r="N8" s="14">
        <f>TIME(0,L8,M8)</f>
        <v>5.6134259259259271E-3</v>
      </c>
      <c r="O8" s="7">
        <v>459</v>
      </c>
      <c r="P8" s="7">
        <f>O$2-O8</f>
        <v>355</v>
      </c>
      <c r="Q8" s="14">
        <f>N8+TIME(0,0,P8)</f>
        <v>9.7222222222222241E-3</v>
      </c>
      <c r="R8" s="7">
        <f>RANK(Q8,Q$8:Q$12,1)</f>
        <v>1</v>
      </c>
      <c r="S8" s="7">
        <f>VLOOKUP(R8,'Место-баллы'!$A$3:$E$52,2,0)</f>
        <v>100</v>
      </c>
      <c r="T8" s="10"/>
      <c r="U8" s="7">
        <v>9</v>
      </c>
      <c r="V8" s="7">
        <v>59</v>
      </c>
      <c r="W8" s="14">
        <f>TIME(0,U8,V8)</f>
        <v>6.9328703703703696E-3</v>
      </c>
      <c r="X8" s="7">
        <v>112</v>
      </c>
      <c r="Y8" s="7">
        <f>X$2-X8</f>
        <v>0</v>
      </c>
      <c r="Z8" s="14">
        <f>W8+TIME(0,0,Y8)</f>
        <v>6.9328703703703696E-3</v>
      </c>
      <c r="AA8" s="7">
        <f>RANK(Z8,Z$8:Z$12,1)</f>
        <v>1</v>
      </c>
      <c r="AB8" s="7">
        <f>VLOOKUP(AA8,'Место-баллы'!$A$3:$E$52,2,0)</f>
        <v>100</v>
      </c>
      <c r="AC8" s="10"/>
      <c r="AD8" s="7">
        <v>3</v>
      </c>
      <c r="AE8" s="7">
        <v>50</v>
      </c>
      <c r="AF8" s="14">
        <f>TIME(0,AD8,AE8)</f>
        <v>2.6620370370370374E-3</v>
      </c>
      <c r="AG8" s="7">
        <v>11</v>
      </c>
      <c r="AH8" s="7">
        <v>5</v>
      </c>
      <c r="AI8" s="14">
        <f>TIME(0,AG8,AH8)</f>
        <v>7.69675925925926E-3</v>
      </c>
      <c r="AJ8" s="7">
        <v>194</v>
      </c>
      <c r="AK8" s="7">
        <f>AJ$2-AJ8</f>
        <v>6</v>
      </c>
      <c r="AL8" s="14">
        <f>AI8+TIME(0,0,AK8)</f>
        <v>7.766203703703704E-3</v>
      </c>
      <c r="AM8" s="7">
        <f>RANK(AL8,AL$8:AL$12,1)</f>
        <v>2</v>
      </c>
      <c r="AN8" s="7">
        <f>VLOOKUP(AM8,'Место-баллы'!$A$3:$E$52,2,0)</f>
        <v>95</v>
      </c>
    </row>
    <row r="9" spans="2:40" x14ac:dyDescent="0.25">
      <c r="B9" s="7">
        <f>RANK(C9,C$8:C$12,0)</f>
        <v>2</v>
      </c>
      <c r="C9" s="7">
        <f>SUMIF($H$1:$AN$1,1,$H9:$AN9)</f>
        <v>375</v>
      </c>
      <c r="D9" s="10"/>
      <c r="E9" s="16" t="s">
        <v>139</v>
      </c>
      <c r="F9" s="13" t="s">
        <v>98</v>
      </c>
      <c r="G9" s="10"/>
      <c r="H9" s="7">
        <v>75</v>
      </c>
      <c r="I9" s="7">
        <f>RANK(H9,H$8:H$12,0)</f>
        <v>3</v>
      </c>
      <c r="J9" s="7">
        <f>VLOOKUP(I9,'Место-баллы'!$A$3:$E$52,2,0)</f>
        <v>90</v>
      </c>
      <c r="K9" s="10"/>
      <c r="L9" s="7">
        <v>8</v>
      </c>
      <c r="M9" s="7">
        <v>5</v>
      </c>
      <c r="N9" s="14">
        <f>TIME(0,L9,M9)</f>
        <v>5.6134259259259271E-3</v>
      </c>
      <c r="O9" s="7">
        <v>450</v>
      </c>
      <c r="P9" s="7">
        <f>O$2-O9</f>
        <v>364</v>
      </c>
      <c r="Q9" s="14">
        <f>N9+TIME(0,0,P9)</f>
        <v>9.8263888888888897E-3</v>
      </c>
      <c r="R9" s="7">
        <f>RANK(Q9,Q$8:Q$12,1)</f>
        <v>2</v>
      </c>
      <c r="S9" s="7">
        <f>VLOOKUP(R9,'Место-баллы'!$A$3:$E$52,2,0)</f>
        <v>95</v>
      </c>
      <c r="T9" s="10"/>
      <c r="U9" s="7">
        <v>11</v>
      </c>
      <c r="V9" s="7">
        <v>36</v>
      </c>
      <c r="W9" s="14">
        <f>TIME(0,U9,V9)</f>
        <v>8.0555555555555554E-3</v>
      </c>
      <c r="X9" s="7">
        <v>112</v>
      </c>
      <c r="Y9" s="7">
        <f>X$2-X9</f>
        <v>0</v>
      </c>
      <c r="Z9" s="14">
        <f>W9+TIME(0,0,Y9)</f>
        <v>8.0555555555555554E-3</v>
      </c>
      <c r="AA9" s="7">
        <f>RANK(Z9,Z$8:Z$12,1)</f>
        <v>3</v>
      </c>
      <c r="AB9" s="7">
        <f>VLOOKUP(AA9,'Место-баллы'!$A$3:$E$52,2,0)</f>
        <v>90</v>
      </c>
      <c r="AC9" s="10"/>
      <c r="AD9" s="7">
        <v>3</v>
      </c>
      <c r="AE9" s="7">
        <v>17</v>
      </c>
      <c r="AF9" s="14">
        <f>TIME(0,AD9,AE9)</f>
        <v>2.2800925925925927E-3</v>
      </c>
      <c r="AG9" s="7">
        <v>10</v>
      </c>
      <c r="AH9" s="7">
        <v>51</v>
      </c>
      <c r="AI9" s="14">
        <f>TIME(0,AG9,AH9)</f>
        <v>7.5347222222222213E-3</v>
      </c>
      <c r="AJ9" s="7">
        <v>200</v>
      </c>
      <c r="AK9" s="7">
        <f>AJ$2-AJ9</f>
        <v>0</v>
      </c>
      <c r="AL9" s="14">
        <f>AI9+TIME(0,0,AK9)</f>
        <v>7.5347222222222213E-3</v>
      </c>
      <c r="AM9" s="7">
        <f>RANK(AL9,AL$8:AL$12,1)</f>
        <v>1</v>
      </c>
      <c r="AN9" s="7">
        <f>VLOOKUP(AM9,'Место-баллы'!$A$3:$E$52,2,0)</f>
        <v>100</v>
      </c>
    </row>
    <row r="10" spans="2:40" x14ac:dyDescent="0.25">
      <c r="B10" s="7">
        <f>RANK(C10,C$8:C$12,0)</f>
        <v>3</v>
      </c>
      <c r="C10" s="7">
        <f>SUMIF($H$1:$AN$1,1,$H10:$AN10)</f>
        <v>340</v>
      </c>
      <c r="D10" s="10"/>
      <c r="E10" s="16" t="s">
        <v>138</v>
      </c>
      <c r="F10" s="13" t="s">
        <v>226</v>
      </c>
      <c r="G10" s="10"/>
      <c r="H10" s="7">
        <v>65</v>
      </c>
      <c r="I10" s="7">
        <f>RANK(H10,H$8:H$12,0)</f>
        <v>5</v>
      </c>
      <c r="J10" s="7">
        <f>VLOOKUP(I10,'Место-баллы'!$A$3:$E$52,2,0)</f>
        <v>80</v>
      </c>
      <c r="K10" s="10"/>
      <c r="L10" s="7">
        <v>8</v>
      </c>
      <c r="M10" s="7">
        <v>5</v>
      </c>
      <c r="N10" s="14">
        <f>TIME(0,L10,M10)</f>
        <v>5.6134259259259271E-3</v>
      </c>
      <c r="O10" s="7">
        <f>404+7</f>
        <v>411</v>
      </c>
      <c r="P10" s="7">
        <f>O$2-O10</f>
        <v>403</v>
      </c>
      <c r="Q10" s="14">
        <f>N10+TIME(0,0,P10)</f>
        <v>1.0277777777777778E-2</v>
      </c>
      <c r="R10" s="7">
        <f>RANK(Q10,Q$8:Q$12,1)</f>
        <v>5</v>
      </c>
      <c r="S10" s="7">
        <f>VLOOKUP(R10,'Место-баллы'!$A$3:$E$52,2,0)</f>
        <v>80</v>
      </c>
      <c r="T10" s="10"/>
      <c r="U10" s="7">
        <v>10</v>
      </c>
      <c r="V10" s="7">
        <v>50</v>
      </c>
      <c r="W10" s="14">
        <f>TIME(0,U10,V10)</f>
        <v>7.5231481481481477E-3</v>
      </c>
      <c r="X10" s="7">
        <v>112</v>
      </c>
      <c r="Y10" s="7">
        <f>X$2-X10</f>
        <v>0</v>
      </c>
      <c r="Z10" s="14">
        <f>W10+TIME(0,0,Y10)</f>
        <v>7.5231481481481477E-3</v>
      </c>
      <c r="AA10" s="7">
        <f>RANK(Z10,Z$8:Z$12,1)</f>
        <v>2</v>
      </c>
      <c r="AB10" s="7">
        <f>VLOOKUP(AA10,'Место-баллы'!$A$3:$E$52,2,0)</f>
        <v>95</v>
      </c>
      <c r="AC10" s="10"/>
      <c r="AD10" s="7">
        <v>7</v>
      </c>
      <c r="AE10" s="7">
        <v>17</v>
      </c>
      <c r="AF10" s="14">
        <f>TIME(0,AD10,AE10)</f>
        <v>5.0578703703703706E-3</v>
      </c>
      <c r="AG10" s="7">
        <v>11</v>
      </c>
      <c r="AH10" s="7">
        <v>5</v>
      </c>
      <c r="AI10" s="14">
        <f>TIME(0,AG10,AH10)</f>
        <v>7.69675925925926E-3</v>
      </c>
      <c r="AJ10" s="7">
        <v>163</v>
      </c>
      <c r="AK10" s="7">
        <f>AJ$2-AJ10</f>
        <v>37</v>
      </c>
      <c r="AL10" s="14">
        <f>AI10+TIME(0,0,AK10)</f>
        <v>8.1250000000000003E-3</v>
      </c>
      <c r="AM10" s="7">
        <f>RANK(AL10,AL$8:AL$12,1)</f>
        <v>4</v>
      </c>
      <c r="AN10" s="7">
        <f>VLOOKUP(AM10,'Место-баллы'!$A$3:$E$52,2,0)</f>
        <v>85</v>
      </c>
    </row>
    <row r="11" spans="2:40" x14ac:dyDescent="0.25">
      <c r="B11" s="7">
        <v>4</v>
      </c>
      <c r="C11" s="7">
        <f>SUMIF($H$1:$AN$1,1,$H11:$AN11)</f>
        <v>340</v>
      </c>
      <c r="D11" s="10"/>
      <c r="E11" s="16" t="s">
        <v>140</v>
      </c>
      <c r="F11" s="13" t="s">
        <v>100</v>
      </c>
      <c r="G11" s="10"/>
      <c r="H11" s="7">
        <v>70</v>
      </c>
      <c r="I11" s="7">
        <f>RANK(H11,H$8:H$12,0)</f>
        <v>4</v>
      </c>
      <c r="J11" s="7">
        <f>VLOOKUP(I11,'Место-баллы'!$A$3:$E$52,2,0)</f>
        <v>85</v>
      </c>
      <c r="K11" s="10"/>
      <c r="L11" s="7">
        <v>8</v>
      </c>
      <c r="M11" s="7">
        <v>5</v>
      </c>
      <c r="N11" s="14">
        <f>TIME(0,L11,M11)</f>
        <v>5.6134259259259271E-3</v>
      </c>
      <c r="O11" s="7">
        <f>422+15</f>
        <v>437</v>
      </c>
      <c r="P11" s="7">
        <f>O$2-O11</f>
        <v>377</v>
      </c>
      <c r="Q11" s="14">
        <f>N11+TIME(0,0,P11)</f>
        <v>9.9768518518518531E-3</v>
      </c>
      <c r="R11" s="7">
        <f>RANK(Q11,Q$8:Q$12,1)</f>
        <v>4</v>
      </c>
      <c r="S11" s="7">
        <f>VLOOKUP(R11,'Место-баллы'!$A$3:$E$52,2,0)</f>
        <v>85</v>
      </c>
      <c r="T11" s="10"/>
      <c r="U11" s="7">
        <v>12</v>
      </c>
      <c r="V11" s="7">
        <v>5</v>
      </c>
      <c r="W11" s="14">
        <f>TIME(0,U11,V11)</f>
        <v>8.3912037037037045E-3</v>
      </c>
      <c r="X11" s="7">
        <v>106</v>
      </c>
      <c r="Y11" s="7">
        <f>X$2-X11</f>
        <v>6</v>
      </c>
      <c r="Z11" s="14">
        <f>W11+TIME(0,0,Y11)</f>
        <v>8.4606481481481494E-3</v>
      </c>
      <c r="AA11" s="7">
        <f>RANK(Z11,Z$8:Z$12,1)</f>
        <v>5</v>
      </c>
      <c r="AB11" s="7">
        <f>VLOOKUP(AA11,'Место-баллы'!$A$3:$E$52,2,0)</f>
        <v>80</v>
      </c>
      <c r="AC11" s="10"/>
      <c r="AD11" s="7">
        <v>5</v>
      </c>
      <c r="AE11" s="7">
        <v>46</v>
      </c>
      <c r="AF11" s="14">
        <f>TIME(0,AD11,AE11)</f>
        <v>4.0046296296296297E-3</v>
      </c>
      <c r="AG11" s="7">
        <v>11</v>
      </c>
      <c r="AH11" s="7">
        <v>5</v>
      </c>
      <c r="AI11" s="14">
        <f>TIME(0,AG11,AH11)</f>
        <v>7.69675925925926E-3</v>
      </c>
      <c r="AJ11" s="7">
        <v>190</v>
      </c>
      <c r="AK11" s="7">
        <f>AJ$2-AJ11</f>
        <v>10</v>
      </c>
      <c r="AL11" s="14">
        <f>AI11+TIME(0,0,AK11)</f>
        <v>7.8125E-3</v>
      </c>
      <c r="AM11" s="7">
        <f>RANK(AL11,AL$8:AL$12,1)</f>
        <v>3</v>
      </c>
      <c r="AN11" s="7">
        <f>VLOOKUP(AM11,'Место-баллы'!$A$3:$E$52,2,0)</f>
        <v>90</v>
      </c>
    </row>
    <row r="12" spans="2:40" x14ac:dyDescent="0.25">
      <c r="B12" s="7">
        <f>RANK(C12,C$8:C$12,0)</f>
        <v>5</v>
      </c>
      <c r="C12" s="7">
        <f>SUMIF($H$1:$AN$1,1,$H12:$AN12)</f>
        <v>275</v>
      </c>
      <c r="D12" s="10"/>
      <c r="E12" s="16" t="s">
        <v>141</v>
      </c>
      <c r="F12" s="13" t="s">
        <v>98</v>
      </c>
      <c r="G12" s="10"/>
      <c r="H12" s="7">
        <v>80</v>
      </c>
      <c r="I12" s="7">
        <f>RANK(H12,H$8:H$12,0)</f>
        <v>1</v>
      </c>
      <c r="J12" s="7">
        <f>VLOOKUP(I12,'Место-баллы'!$A$3:$E$52,2,0)</f>
        <v>100</v>
      </c>
      <c r="K12" s="10"/>
      <c r="L12" s="7">
        <v>8</v>
      </c>
      <c r="M12" s="7">
        <v>5</v>
      </c>
      <c r="N12" s="14">
        <f>TIME(0,L12,M12)</f>
        <v>5.6134259259259271E-3</v>
      </c>
      <c r="O12" s="7">
        <v>440</v>
      </c>
      <c r="P12" s="7">
        <f>O$2-O12</f>
        <v>374</v>
      </c>
      <c r="Q12" s="14">
        <f>N12+TIME(0,0,P12)</f>
        <v>9.9421296296296306E-3</v>
      </c>
      <c r="R12" s="7">
        <f>RANK(Q12,Q$8:Q$12,1)</f>
        <v>3</v>
      </c>
      <c r="S12" s="7">
        <f>VLOOKUP(R12,'Место-баллы'!$A$3:$E$52,2,0)</f>
        <v>90</v>
      </c>
      <c r="T12" s="10"/>
      <c r="U12" s="7">
        <v>11</v>
      </c>
      <c r="V12" s="7">
        <v>50</v>
      </c>
      <c r="W12" s="14">
        <f>TIME(0,U12,V12)</f>
        <v>8.217592592592594E-3</v>
      </c>
      <c r="X12" s="7">
        <v>112</v>
      </c>
      <c r="Y12" s="7">
        <f>X$2-X12</f>
        <v>0</v>
      </c>
      <c r="Z12" s="14">
        <f>W12+TIME(0,0,Y12)</f>
        <v>8.217592592592594E-3</v>
      </c>
      <c r="AA12" s="7">
        <f>RANK(Z12,Z$8:Z$12,1)</f>
        <v>4</v>
      </c>
      <c r="AB12" s="7">
        <f>VLOOKUP(AA12,'Место-баллы'!$A$3:$E$52,2,0)</f>
        <v>85</v>
      </c>
      <c r="AC12" s="10"/>
      <c r="AD12" s="7"/>
      <c r="AE12" s="7"/>
      <c r="AF12" s="14"/>
      <c r="AG12" s="7"/>
      <c r="AH12" s="7"/>
      <c r="AI12" s="14"/>
      <c r="AJ12" s="7"/>
      <c r="AK12" s="7"/>
      <c r="AL12" s="14"/>
      <c r="AM12" s="7"/>
      <c r="AN12" s="7">
        <v>0</v>
      </c>
    </row>
    <row r="13" spans="2:40" ht="15.75" customHeight="1" x14ac:dyDescent="0.25"/>
    <row r="14" spans="2:40" ht="15.75" customHeight="1" x14ac:dyDescent="0.25"/>
    <row r="15" spans="2:40" ht="15.75" customHeight="1" x14ac:dyDescent="0.25"/>
    <row r="16" spans="2:4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</sheetData>
  <autoFilter ref="B7:AN7" xr:uid="{086F17F1-716D-469A-8155-F70A5C7FAC7E}">
    <sortState xmlns:xlrd2="http://schemas.microsoft.com/office/spreadsheetml/2017/richdata2" ref="B8:AN12">
      <sortCondition ref="B7"/>
    </sortState>
  </autoFilter>
  <mergeCells count="6">
    <mergeCell ref="AD5:AN6"/>
    <mergeCell ref="B5:C6"/>
    <mergeCell ref="E5:F6"/>
    <mergeCell ref="H5:J6"/>
    <mergeCell ref="L5:S6"/>
    <mergeCell ref="U5:AB6"/>
  </mergeCells>
  <printOptions horizontalCentered="1" verticalCentered="1"/>
  <pageMargins left="0" right="0" top="0" bottom="0" header="0" footer="0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3E33-5DB9-46C1-B4A3-A00464A429C1}">
  <sheetPr>
    <pageSetUpPr fitToPage="1"/>
  </sheetPr>
  <dimension ref="B1:AN30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AJ19" sqref="AJ19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1" customWidth="1"/>
    <col min="6" max="6" width="20.710937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hidden="1" customWidth="1" outlineLevel="1"/>
    <col min="15" max="15" width="6.85546875" customWidth="1" collapsed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customWidth="1" collapsed="1"/>
    <col min="24" max="24" width="6.85546875" customWidth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9.140625" bestFit="1" customWidth="1" collapsed="1"/>
    <col min="33" max="33" width="5.140625" hidden="1" customWidth="1" outlineLevel="1"/>
    <col min="34" max="34" width="4.28515625" hidden="1" customWidth="1" outlineLevel="1"/>
    <col min="35" max="35" width="7.140625" customWidth="1" collapsed="1"/>
    <col min="36" max="36" width="6.85546875" customWidth="1"/>
    <col min="37" max="37" width="7.85546875" hidden="1" customWidth="1" outlineLevel="1"/>
    <col min="38" max="38" width="7.140625" hidden="1" customWidth="1" outlineLevel="1"/>
    <col min="39" max="39" width="7.140625" customWidth="1" collapsed="1"/>
    <col min="40" max="40" width="6.85546875" customWidth="1"/>
  </cols>
  <sheetData>
    <row r="1" spans="2:40" x14ac:dyDescent="0.25">
      <c r="E1" s="12"/>
      <c r="F1" s="12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U1" s="3"/>
      <c r="V1" s="3"/>
      <c r="W1" s="3"/>
      <c r="X1" s="3"/>
      <c r="Y1" s="3"/>
      <c r="Z1" s="3"/>
      <c r="AA1" s="3"/>
      <c r="AB1" s="4">
        <v>1</v>
      </c>
      <c r="AG1" s="3"/>
      <c r="AH1" s="3"/>
      <c r="AI1" s="3"/>
      <c r="AJ1" s="3"/>
      <c r="AK1" s="3"/>
      <c r="AL1" s="3"/>
      <c r="AM1" s="3"/>
      <c r="AN1" s="4">
        <v>1</v>
      </c>
    </row>
    <row r="2" spans="2:40" x14ac:dyDescent="0.25">
      <c r="E2" s="12"/>
      <c r="F2" s="12"/>
      <c r="H2" s="3"/>
      <c r="I2" s="3"/>
      <c r="J2" s="3"/>
      <c r="L2" s="3"/>
      <c r="M2" s="3"/>
      <c r="N2" s="3"/>
      <c r="O2" s="5">
        <v>1114</v>
      </c>
      <c r="P2" s="3"/>
      <c r="Q2" s="3"/>
      <c r="R2" s="3"/>
      <c r="S2" s="3"/>
      <c r="U2" s="3"/>
      <c r="V2" s="3"/>
      <c r="W2" s="3"/>
      <c r="X2" s="5">
        <v>112</v>
      </c>
      <c r="Y2" s="3"/>
      <c r="Z2" s="3"/>
      <c r="AA2" s="3"/>
      <c r="AB2" s="3"/>
      <c r="AG2" s="3"/>
      <c r="AH2" s="3"/>
      <c r="AI2" s="3"/>
      <c r="AJ2" s="5">
        <v>200</v>
      </c>
      <c r="AK2" s="3"/>
      <c r="AL2" s="3"/>
      <c r="AM2" s="3"/>
      <c r="AN2" s="3"/>
    </row>
    <row r="3" spans="2:40" x14ac:dyDescent="0.25">
      <c r="E3" s="12"/>
      <c r="F3" s="12"/>
      <c r="H3" s="6"/>
      <c r="I3" s="3"/>
      <c r="J3" s="3"/>
      <c r="L3" s="3"/>
      <c r="M3" s="3"/>
      <c r="N3" s="3"/>
      <c r="O3" s="6" t="s">
        <v>47</v>
      </c>
      <c r="P3" s="3"/>
      <c r="Q3" s="3"/>
      <c r="R3" s="3"/>
      <c r="S3" s="3"/>
      <c r="U3" s="3"/>
      <c r="V3" s="3"/>
      <c r="W3" s="3"/>
      <c r="X3" s="6" t="s">
        <v>24</v>
      </c>
      <c r="Y3" s="3"/>
      <c r="Z3" s="3"/>
      <c r="AA3" s="3"/>
      <c r="AB3" s="3"/>
      <c r="AG3" s="3"/>
      <c r="AH3" s="3"/>
      <c r="AI3" s="3"/>
      <c r="AJ3" s="17" t="s">
        <v>221</v>
      </c>
      <c r="AK3" s="3"/>
      <c r="AL3" s="3"/>
      <c r="AM3" s="3"/>
      <c r="AN3" s="3"/>
    </row>
    <row r="4" spans="2:40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G4" s="3"/>
      <c r="AH4" s="3"/>
      <c r="AI4" s="3"/>
      <c r="AJ4" s="3"/>
      <c r="AK4" s="3"/>
      <c r="AL4" s="3"/>
      <c r="AM4" s="3"/>
      <c r="AN4" s="3"/>
    </row>
    <row r="5" spans="2:40" ht="15" customHeight="1" x14ac:dyDescent="0.25">
      <c r="B5" s="23" t="s">
        <v>4</v>
      </c>
      <c r="C5" s="24"/>
      <c r="D5" s="7"/>
      <c r="E5" s="25" t="s">
        <v>36</v>
      </c>
      <c r="F5" s="26"/>
      <c r="G5" s="7"/>
      <c r="H5" s="25" t="s">
        <v>22</v>
      </c>
      <c r="I5" s="29"/>
      <c r="J5" s="26"/>
      <c r="K5" s="7"/>
      <c r="L5" s="23" t="s">
        <v>23</v>
      </c>
      <c r="M5" s="24"/>
      <c r="N5" s="24"/>
      <c r="O5" s="24"/>
      <c r="P5" s="24"/>
      <c r="Q5" s="24"/>
      <c r="R5" s="24"/>
      <c r="S5" s="24"/>
      <c r="T5" s="7"/>
      <c r="U5" s="23" t="s">
        <v>5</v>
      </c>
      <c r="V5" s="24"/>
      <c r="W5" s="24"/>
      <c r="X5" s="24"/>
      <c r="Y5" s="24"/>
      <c r="Z5" s="24"/>
      <c r="AA5" s="24"/>
      <c r="AB5" s="24"/>
      <c r="AC5" s="7"/>
      <c r="AD5" s="25" t="s">
        <v>6</v>
      </c>
      <c r="AE5" s="29"/>
      <c r="AF5" s="29"/>
      <c r="AG5" s="29"/>
      <c r="AH5" s="29"/>
      <c r="AI5" s="29"/>
      <c r="AJ5" s="29"/>
      <c r="AK5" s="29"/>
      <c r="AL5" s="29"/>
      <c r="AM5" s="29"/>
      <c r="AN5" s="26"/>
    </row>
    <row r="6" spans="2:40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4"/>
      <c r="M6" s="24"/>
      <c r="N6" s="24"/>
      <c r="O6" s="24"/>
      <c r="P6" s="24"/>
      <c r="Q6" s="24"/>
      <c r="R6" s="24"/>
      <c r="S6" s="24"/>
      <c r="T6" s="8"/>
      <c r="U6" s="24"/>
      <c r="V6" s="24"/>
      <c r="W6" s="24"/>
      <c r="X6" s="24"/>
      <c r="Y6" s="24"/>
      <c r="Z6" s="24"/>
      <c r="AA6" s="24"/>
      <c r="AB6" s="24"/>
      <c r="AC6" s="8"/>
      <c r="AD6" s="27"/>
      <c r="AE6" s="30"/>
      <c r="AF6" s="30"/>
      <c r="AG6" s="30"/>
      <c r="AH6" s="30"/>
      <c r="AI6" s="30"/>
      <c r="AJ6" s="30"/>
      <c r="AK6" s="30"/>
      <c r="AL6" s="30"/>
      <c r="AM6" s="30"/>
      <c r="AN6" s="28"/>
    </row>
    <row r="7" spans="2:40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8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27</v>
      </c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</row>
    <row r="8" spans="2:40" x14ac:dyDescent="0.25">
      <c r="B8" s="7">
        <f t="shared" ref="B8:B14" si="0">RANK(C8,C$8:C$23,0)</f>
        <v>1</v>
      </c>
      <c r="C8" s="7">
        <f t="shared" ref="C8:C23" si="1">SUMIF($H$1:$AN$1,1,$H8:$AN8)</f>
        <v>370</v>
      </c>
      <c r="D8" s="10"/>
      <c r="E8" s="16" t="s">
        <v>168</v>
      </c>
      <c r="F8" s="13"/>
      <c r="G8" s="10"/>
      <c r="H8" s="7">
        <v>125</v>
      </c>
      <c r="I8" s="7">
        <f t="shared" ref="I8:I23" si="2">RANK(H8,H$8:H$23,0)</f>
        <v>2</v>
      </c>
      <c r="J8" s="7">
        <f>VLOOKUP(I8,'Место-баллы'!$A$3:$E$52,2,0)</f>
        <v>95</v>
      </c>
      <c r="K8" s="10"/>
      <c r="L8" s="7">
        <v>8</v>
      </c>
      <c r="M8" s="7">
        <v>5</v>
      </c>
      <c r="N8" s="14">
        <f t="shared" ref="N8:N23" si="3">TIME(0,L8,M8)</f>
        <v>5.6134259259259271E-3</v>
      </c>
      <c r="O8" s="7">
        <f>614+115</f>
        <v>729</v>
      </c>
      <c r="P8" s="7">
        <f t="shared" ref="P8:P23" si="4">O$2-O8</f>
        <v>385</v>
      </c>
      <c r="Q8" s="14">
        <f t="shared" ref="Q8:Q23" si="5">N8+TIME(0,0,P8)</f>
        <v>1.0069444444444447E-2</v>
      </c>
      <c r="R8" s="7">
        <f t="shared" ref="R8:R23" si="6">RANK(Q8,Q$8:Q$23,1)</f>
        <v>1</v>
      </c>
      <c r="S8" s="7">
        <f>VLOOKUP(R8,'Место-баллы'!$A$3:$E$52,2,0)</f>
        <v>100</v>
      </c>
      <c r="T8" s="10"/>
      <c r="U8" s="7">
        <v>11</v>
      </c>
      <c r="V8" s="7">
        <v>12</v>
      </c>
      <c r="W8" s="14">
        <f t="shared" ref="W8:W23" si="7">TIME(0,U8,V8)</f>
        <v>7.7777777777777767E-3</v>
      </c>
      <c r="X8" s="7">
        <v>112</v>
      </c>
      <c r="Y8" s="7">
        <f t="shared" ref="Y8:Y23" si="8">X$2-X8</f>
        <v>0</v>
      </c>
      <c r="Z8" s="14">
        <f t="shared" ref="Z8:Z23" si="9">W8+TIME(0,0,Y8)</f>
        <v>7.7777777777777767E-3</v>
      </c>
      <c r="AA8" s="7">
        <f t="shared" ref="AA8:AA23" si="10">RANK(Z8,Z$8:Z$23,1)</f>
        <v>3</v>
      </c>
      <c r="AB8" s="7">
        <f>VLOOKUP(AA8,'Место-баллы'!$A$3:$E$52,2,0)</f>
        <v>90</v>
      </c>
      <c r="AC8" s="10"/>
      <c r="AD8" s="7">
        <v>3</v>
      </c>
      <c r="AE8" s="7">
        <v>37</v>
      </c>
      <c r="AF8" s="14">
        <f t="shared" ref="AF8:AF15" si="11">TIME(0,AD8,AE8)</f>
        <v>2.5115740740740741E-3</v>
      </c>
      <c r="AG8" s="7">
        <v>11</v>
      </c>
      <c r="AH8" s="7">
        <v>5</v>
      </c>
      <c r="AI8" s="14">
        <f t="shared" ref="AI8:AI15" si="12">TIME(0,AG8,AH8)</f>
        <v>7.69675925925926E-3</v>
      </c>
      <c r="AJ8" s="7">
        <v>196</v>
      </c>
      <c r="AK8" s="7">
        <f t="shared" ref="AK8:AK15" si="13">AJ$2-AJ8</f>
        <v>4</v>
      </c>
      <c r="AL8" s="14">
        <f t="shared" ref="AL8:AL15" si="14">AI8+TIME(0,0,AK8)</f>
        <v>7.743055555555556E-3</v>
      </c>
      <c r="AM8" s="7">
        <f t="shared" ref="AM8:AM15" si="15">RANK(AL8,AL$8:AL$23,1)</f>
        <v>4</v>
      </c>
      <c r="AN8" s="7">
        <f>VLOOKUP(AM8,'Место-баллы'!$A$3:$E$52,2,0)</f>
        <v>85</v>
      </c>
    </row>
    <row r="9" spans="2:40" x14ac:dyDescent="0.25">
      <c r="B9" s="7">
        <f t="shared" si="0"/>
        <v>2</v>
      </c>
      <c r="C9" s="7">
        <f t="shared" si="1"/>
        <v>360</v>
      </c>
      <c r="D9" s="10"/>
      <c r="E9" s="16" t="s">
        <v>167</v>
      </c>
      <c r="F9" s="13" t="s">
        <v>228</v>
      </c>
      <c r="G9" s="10"/>
      <c r="H9" s="7">
        <v>127</v>
      </c>
      <c r="I9" s="7">
        <f t="shared" si="2"/>
        <v>1</v>
      </c>
      <c r="J9" s="7">
        <f>VLOOKUP(I9,'Место-баллы'!$A$3:$E$52,2,0)</f>
        <v>100</v>
      </c>
      <c r="K9" s="10"/>
      <c r="L9" s="7">
        <v>8</v>
      </c>
      <c r="M9" s="7">
        <v>5</v>
      </c>
      <c r="N9" s="14">
        <f t="shared" si="3"/>
        <v>5.6134259259259271E-3</v>
      </c>
      <c r="O9" s="7">
        <v>594</v>
      </c>
      <c r="P9" s="7">
        <f t="shared" si="4"/>
        <v>520</v>
      </c>
      <c r="Q9" s="14">
        <f t="shared" si="5"/>
        <v>1.1631944444444445E-2</v>
      </c>
      <c r="R9" s="7">
        <f t="shared" si="6"/>
        <v>6</v>
      </c>
      <c r="S9" s="7">
        <f>VLOOKUP(R9,'Место-баллы'!$A$3:$E$52,2,0)</f>
        <v>75</v>
      </c>
      <c r="T9" s="10"/>
      <c r="U9" s="7">
        <v>11</v>
      </c>
      <c r="V9" s="7">
        <v>17</v>
      </c>
      <c r="W9" s="14">
        <f t="shared" si="7"/>
        <v>7.8356481481481489E-3</v>
      </c>
      <c r="X9" s="7">
        <v>112</v>
      </c>
      <c r="Y9" s="7">
        <f t="shared" si="8"/>
        <v>0</v>
      </c>
      <c r="Z9" s="14">
        <f t="shared" si="9"/>
        <v>7.8356481481481489E-3</v>
      </c>
      <c r="AA9" s="7">
        <f t="shared" si="10"/>
        <v>4</v>
      </c>
      <c r="AB9" s="7">
        <f>VLOOKUP(AA9,'Место-баллы'!$A$3:$E$52,2,0)</f>
        <v>85</v>
      </c>
      <c r="AC9" s="10"/>
      <c r="AD9" s="7">
        <v>3</v>
      </c>
      <c r="AE9" s="7">
        <v>11</v>
      </c>
      <c r="AF9" s="14">
        <f t="shared" si="11"/>
        <v>2.2106481481481478E-3</v>
      </c>
      <c r="AG9" s="7">
        <v>8</v>
      </c>
      <c r="AH9" s="7">
        <v>57</v>
      </c>
      <c r="AI9" s="14">
        <f t="shared" si="12"/>
        <v>6.215277777777777E-3</v>
      </c>
      <c r="AJ9" s="7">
        <v>200</v>
      </c>
      <c r="AK9" s="7">
        <f t="shared" si="13"/>
        <v>0</v>
      </c>
      <c r="AL9" s="14">
        <f t="shared" si="14"/>
        <v>6.215277777777777E-3</v>
      </c>
      <c r="AM9" s="7">
        <f t="shared" si="15"/>
        <v>1</v>
      </c>
      <c r="AN9" s="7">
        <f>VLOOKUP(AM9,'Место-баллы'!$A$3:$E$52,2,0)</f>
        <v>100</v>
      </c>
    </row>
    <row r="10" spans="2:40" x14ac:dyDescent="0.25">
      <c r="B10" s="7">
        <f t="shared" si="0"/>
        <v>3</v>
      </c>
      <c r="C10" s="7">
        <f t="shared" si="1"/>
        <v>357</v>
      </c>
      <c r="D10" s="10"/>
      <c r="E10" s="16" t="s">
        <v>178</v>
      </c>
      <c r="F10" s="13"/>
      <c r="G10" s="10"/>
      <c r="H10" s="7">
        <v>106</v>
      </c>
      <c r="I10" s="7">
        <f t="shared" si="2"/>
        <v>10</v>
      </c>
      <c r="J10" s="7">
        <f>VLOOKUP(I10,'Место-баллы'!$A$3:$E$52,2,0)</f>
        <v>67</v>
      </c>
      <c r="K10" s="10"/>
      <c r="L10" s="7">
        <v>8</v>
      </c>
      <c r="M10" s="7">
        <v>5</v>
      </c>
      <c r="N10" s="14">
        <f t="shared" si="3"/>
        <v>5.6134259259259271E-3</v>
      </c>
      <c r="O10" s="7">
        <f>614+48</f>
        <v>662</v>
      </c>
      <c r="P10" s="7">
        <f t="shared" si="4"/>
        <v>452</v>
      </c>
      <c r="Q10" s="14">
        <f t="shared" si="5"/>
        <v>1.0844907407407409E-2</v>
      </c>
      <c r="R10" s="7">
        <f t="shared" si="6"/>
        <v>2</v>
      </c>
      <c r="S10" s="7">
        <f>VLOOKUP(R10,'Место-баллы'!$A$3:$E$52,2,0)</f>
        <v>95</v>
      </c>
      <c r="T10" s="10"/>
      <c r="U10" s="7">
        <v>9</v>
      </c>
      <c r="V10" s="7">
        <v>55</v>
      </c>
      <c r="W10" s="14">
        <f t="shared" si="7"/>
        <v>6.8865740740740736E-3</v>
      </c>
      <c r="X10" s="7">
        <v>112</v>
      </c>
      <c r="Y10" s="7">
        <f t="shared" si="8"/>
        <v>0</v>
      </c>
      <c r="Z10" s="14">
        <f t="shared" si="9"/>
        <v>6.8865740740740736E-3</v>
      </c>
      <c r="AA10" s="7">
        <f t="shared" si="10"/>
        <v>1</v>
      </c>
      <c r="AB10" s="7">
        <f>VLOOKUP(AA10,'Место-баллы'!$A$3:$E$52,2,0)</f>
        <v>100</v>
      </c>
      <c r="AC10" s="10"/>
      <c r="AD10" s="7">
        <v>3</v>
      </c>
      <c r="AE10" s="7">
        <v>13</v>
      </c>
      <c r="AF10" s="14">
        <f t="shared" si="11"/>
        <v>2.2337962962962967E-3</v>
      </c>
      <c r="AG10" s="7">
        <v>9</v>
      </c>
      <c r="AH10" s="7">
        <v>50</v>
      </c>
      <c r="AI10" s="14">
        <f t="shared" si="12"/>
        <v>6.828703703703704E-3</v>
      </c>
      <c r="AJ10" s="7">
        <v>200</v>
      </c>
      <c r="AK10" s="7">
        <f t="shared" si="13"/>
        <v>0</v>
      </c>
      <c r="AL10" s="14">
        <f t="shared" si="14"/>
        <v>6.828703703703704E-3</v>
      </c>
      <c r="AM10" s="7">
        <f t="shared" si="15"/>
        <v>2</v>
      </c>
      <c r="AN10" s="7">
        <f>VLOOKUP(AM10,'Место-баллы'!$A$3:$E$52,2,0)</f>
        <v>95</v>
      </c>
    </row>
    <row r="11" spans="2:40" x14ac:dyDescent="0.25">
      <c r="B11" s="7">
        <f t="shared" si="0"/>
        <v>4</v>
      </c>
      <c r="C11" s="7">
        <f t="shared" si="1"/>
        <v>345</v>
      </c>
      <c r="D11" s="10"/>
      <c r="E11" s="16" t="s">
        <v>176</v>
      </c>
      <c r="F11" s="13"/>
      <c r="G11" s="10"/>
      <c r="H11" s="7">
        <v>121</v>
      </c>
      <c r="I11" s="7">
        <f t="shared" si="2"/>
        <v>3</v>
      </c>
      <c r="J11" s="7">
        <f>VLOOKUP(I11,'Место-баллы'!$A$3:$E$52,2,0)</f>
        <v>90</v>
      </c>
      <c r="K11" s="10"/>
      <c r="L11" s="7">
        <v>8</v>
      </c>
      <c r="M11" s="7">
        <v>5</v>
      </c>
      <c r="N11" s="14">
        <f t="shared" si="3"/>
        <v>5.6134259259259271E-3</v>
      </c>
      <c r="O11" s="7">
        <v>612</v>
      </c>
      <c r="P11" s="7">
        <f t="shared" si="4"/>
        <v>502</v>
      </c>
      <c r="Q11" s="14">
        <f t="shared" si="5"/>
        <v>1.1423611111111114E-2</v>
      </c>
      <c r="R11" s="7">
        <f t="shared" si="6"/>
        <v>4</v>
      </c>
      <c r="S11" s="7">
        <f>VLOOKUP(R11,'Место-баллы'!$A$3:$E$52,2,0)</f>
        <v>85</v>
      </c>
      <c r="T11" s="10"/>
      <c r="U11" s="7">
        <v>12</v>
      </c>
      <c r="V11" s="7">
        <v>5</v>
      </c>
      <c r="W11" s="14">
        <f t="shared" si="7"/>
        <v>8.3912037037037045E-3</v>
      </c>
      <c r="X11" s="7">
        <v>104</v>
      </c>
      <c r="Y11" s="7">
        <f t="shared" si="8"/>
        <v>8</v>
      </c>
      <c r="Z11" s="14">
        <f t="shared" si="9"/>
        <v>8.4837962962962966E-3</v>
      </c>
      <c r="AA11" s="7">
        <f t="shared" si="10"/>
        <v>5</v>
      </c>
      <c r="AB11" s="7">
        <f>VLOOKUP(AA11,'Место-баллы'!$A$3:$E$52,2,0)</f>
        <v>80</v>
      </c>
      <c r="AC11" s="10"/>
      <c r="AD11" s="7">
        <v>2</v>
      </c>
      <c r="AE11" s="7">
        <v>43</v>
      </c>
      <c r="AF11" s="14">
        <f t="shared" si="11"/>
        <v>1.8865740740740742E-3</v>
      </c>
      <c r="AG11" s="7">
        <v>10</v>
      </c>
      <c r="AH11" s="7">
        <v>54</v>
      </c>
      <c r="AI11" s="14">
        <f t="shared" si="12"/>
        <v>7.5694444444444446E-3</v>
      </c>
      <c r="AJ11" s="7">
        <v>200</v>
      </c>
      <c r="AK11" s="7">
        <f t="shared" si="13"/>
        <v>0</v>
      </c>
      <c r="AL11" s="14">
        <f t="shared" si="14"/>
        <v>7.5694444444444446E-3</v>
      </c>
      <c r="AM11" s="7">
        <f t="shared" si="15"/>
        <v>3</v>
      </c>
      <c r="AN11" s="7">
        <f>VLOOKUP(AM11,'Место-баллы'!$A$3:$E$52,2,0)</f>
        <v>90</v>
      </c>
    </row>
    <row r="12" spans="2:40" x14ac:dyDescent="0.25">
      <c r="B12" s="7">
        <f t="shared" si="0"/>
        <v>5</v>
      </c>
      <c r="C12" s="7">
        <f t="shared" si="1"/>
        <v>340</v>
      </c>
      <c r="D12" s="10"/>
      <c r="E12" s="16" t="s">
        <v>172</v>
      </c>
      <c r="F12" s="13"/>
      <c r="G12" s="10"/>
      <c r="H12" s="7">
        <v>113</v>
      </c>
      <c r="I12" s="7">
        <f t="shared" si="2"/>
        <v>6</v>
      </c>
      <c r="J12" s="7">
        <f>VLOOKUP(I12,'Место-баллы'!$A$3:$E$52,2,0)</f>
        <v>75</v>
      </c>
      <c r="K12" s="10"/>
      <c r="L12" s="7">
        <v>8</v>
      </c>
      <c r="M12" s="7">
        <v>5</v>
      </c>
      <c r="N12" s="14">
        <f t="shared" si="3"/>
        <v>5.6134259259259271E-3</v>
      </c>
      <c r="O12" s="7">
        <v>613</v>
      </c>
      <c r="P12" s="7">
        <f t="shared" si="4"/>
        <v>501</v>
      </c>
      <c r="Q12" s="14">
        <f t="shared" si="5"/>
        <v>1.1412037037037038E-2</v>
      </c>
      <c r="R12" s="7">
        <f t="shared" si="6"/>
        <v>3</v>
      </c>
      <c r="S12" s="7">
        <f>VLOOKUP(R12,'Место-баллы'!$A$3:$E$52,2,0)</f>
        <v>90</v>
      </c>
      <c r="T12" s="10"/>
      <c r="U12" s="7">
        <v>10</v>
      </c>
      <c r="V12" s="7">
        <v>31</v>
      </c>
      <c r="W12" s="14">
        <f t="shared" si="7"/>
        <v>7.3032407407407412E-3</v>
      </c>
      <c r="X12" s="7">
        <v>112</v>
      </c>
      <c r="Y12" s="7">
        <f t="shared" si="8"/>
        <v>0</v>
      </c>
      <c r="Z12" s="14">
        <f t="shared" si="9"/>
        <v>7.3032407407407412E-3</v>
      </c>
      <c r="AA12" s="7">
        <f t="shared" si="10"/>
        <v>2</v>
      </c>
      <c r="AB12" s="7">
        <f>VLOOKUP(AA12,'Место-баллы'!$A$3:$E$52,2,0)</f>
        <v>95</v>
      </c>
      <c r="AC12" s="10"/>
      <c r="AD12" s="7">
        <v>3</v>
      </c>
      <c r="AE12" s="7">
        <v>37</v>
      </c>
      <c r="AF12" s="14">
        <f t="shared" si="11"/>
        <v>2.5115740740740741E-3</v>
      </c>
      <c r="AG12" s="7">
        <v>11</v>
      </c>
      <c r="AH12" s="7">
        <v>5</v>
      </c>
      <c r="AI12" s="14">
        <f t="shared" si="12"/>
        <v>7.69675925925926E-3</v>
      </c>
      <c r="AJ12" s="7">
        <v>191</v>
      </c>
      <c r="AK12" s="7">
        <f t="shared" si="13"/>
        <v>9</v>
      </c>
      <c r="AL12" s="14">
        <f t="shared" si="14"/>
        <v>7.8009259259259264E-3</v>
      </c>
      <c r="AM12" s="7">
        <f t="shared" si="15"/>
        <v>5</v>
      </c>
      <c r="AN12" s="7">
        <f>VLOOKUP(AM12,'Место-баллы'!$A$3:$E$52,2,0)</f>
        <v>80</v>
      </c>
    </row>
    <row r="13" spans="2:40" x14ac:dyDescent="0.25">
      <c r="B13" s="7">
        <f t="shared" si="0"/>
        <v>6</v>
      </c>
      <c r="C13" s="7">
        <f t="shared" si="1"/>
        <v>286</v>
      </c>
      <c r="D13" s="10"/>
      <c r="E13" s="16" t="s">
        <v>181</v>
      </c>
      <c r="F13" s="13" t="s">
        <v>98</v>
      </c>
      <c r="G13" s="10"/>
      <c r="H13" s="7">
        <v>112</v>
      </c>
      <c r="I13" s="7">
        <f t="shared" si="2"/>
        <v>7</v>
      </c>
      <c r="J13" s="7">
        <f>VLOOKUP(I13,'Место-баллы'!$A$3:$E$52,2,0)</f>
        <v>73</v>
      </c>
      <c r="K13" s="10"/>
      <c r="L13" s="7">
        <v>8</v>
      </c>
      <c r="M13" s="7">
        <v>5</v>
      </c>
      <c r="N13" s="14">
        <f t="shared" si="3"/>
        <v>5.6134259259259271E-3</v>
      </c>
      <c r="O13" s="7">
        <v>591</v>
      </c>
      <c r="P13" s="7">
        <f t="shared" si="4"/>
        <v>523</v>
      </c>
      <c r="Q13" s="14">
        <f t="shared" si="5"/>
        <v>1.1666666666666669E-2</v>
      </c>
      <c r="R13" s="7">
        <f t="shared" si="6"/>
        <v>8</v>
      </c>
      <c r="S13" s="7">
        <f>VLOOKUP(R13,'Место-баллы'!$A$3:$E$52,2,0)</f>
        <v>71</v>
      </c>
      <c r="T13" s="10"/>
      <c r="U13" s="7">
        <v>12</v>
      </c>
      <c r="V13" s="7">
        <v>5</v>
      </c>
      <c r="W13" s="14">
        <f t="shared" si="7"/>
        <v>8.3912037037037045E-3</v>
      </c>
      <c r="X13" s="7">
        <v>84</v>
      </c>
      <c r="Y13" s="7">
        <f t="shared" si="8"/>
        <v>28</v>
      </c>
      <c r="Z13" s="14">
        <f t="shared" si="9"/>
        <v>8.7152777777777784E-3</v>
      </c>
      <c r="AA13" s="7">
        <f t="shared" si="10"/>
        <v>10</v>
      </c>
      <c r="AB13" s="7">
        <f>VLOOKUP(AA13,'Место-баллы'!$A$3:$E$52,2,0)</f>
        <v>67</v>
      </c>
      <c r="AC13" s="10"/>
      <c r="AD13" s="7">
        <v>4</v>
      </c>
      <c r="AE13" s="7">
        <v>20</v>
      </c>
      <c r="AF13" s="14">
        <f t="shared" si="11"/>
        <v>3.0092592592592588E-3</v>
      </c>
      <c r="AG13" s="7">
        <v>11</v>
      </c>
      <c r="AH13" s="7">
        <v>5</v>
      </c>
      <c r="AI13" s="14">
        <f t="shared" si="12"/>
        <v>7.69675925925926E-3</v>
      </c>
      <c r="AJ13" s="7">
        <v>190</v>
      </c>
      <c r="AK13" s="7">
        <f t="shared" si="13"/>
        <v>10</v>
      </c>
      <c r="AL13" s="14">
        <f t="shared" si="14"/>
        <v>7.8125E-3</v>
      </c>
      <c r="AM13" s="7">
        <f t="shared" si="15"/>
        <v>6</v>
      </c>
      <c r="AN13" s="7">
        <f>VLOOKUP(AM13,'Место-баллы'!$A$3:$E$52,2,0)</f>
        <v>75</v>
      </c>
    </row>
    <row r="14" spans="2:40" x14ac:dyDescent="0.25">
      <c r="B14" s="7">
        <f t="shared" si="0"/>
        <v>7</v>
      </c>
      <c r="C14" s="7">
        <f t="shared" si="1"/>
        <v>282</v>
      </c>
      <c r="D14" s="10"/>
      <c r="E14" s="16" t="s">
        <v>174</v>
      </c>
      <c r="F14" s="13" t="s">
        <v>98</v>
      </c>
      <c r="G14" s="10"/>
      <c r="H14" s="7">
        <v>106</v>
      </c>
      <c r="I14" s="7">
        <f t="shared" si="2"/>
        <v>10</v>
      </c>
      <c r="J14" s="7">
        <f>VLOOKUP(I14,'Место-баллы'!$A$3:$E$52,2,0)</f>
        <v>67</v>
      </c>
      <c r="K14" s="10"/>
      <c r="L14" s="7">
        <v>8</v>
      </c>
      <c r="M14" s="7">
        <v>5</v>
      </c>
      <c r="N14" s="14">
        <f t="shared" si="3"/>
        <v>5.6134259259259271E-3</v>
      </c>
      <c r="O14" s="7">
        <v>594</v>
      </c>
      <c r="P14" s="7">
        <f t="shared" si="4"/>
        <v>520</v>
      </c>
      <c r="Q14" s="14">
        <f t="shared" si="5"/>
        <v>1.1631944444444445E-2</v>
      </c>
      <c r="R14" s="7">
        <f t="shared" si="6"/>
        <v>6</v>
      </c>
      <c r="S14" s="7">
        <f>VLOOKUP(R14,'Место-баллы'!$A$3:$E$52,2,0)</f>
        <v>75</v>
      </c>
      <c r="T14" s="10"/>
      <c r="U14" s="7">
        <v>12</v>
      </c>
      <c r="V14" s="7">
        <v>5</v>
      </c>
      <c r="W14" s="14">
        <f t="shared" si="7"/>
        <v>8.3912037037037045E-3</v>
      </c>
      <c r="X14" s="7">
        <v>84</v>
      </c>
      <c r="Y14" s="7">
        <f t="shared" si="8"/>
        <v>28</v>
      </c>
      <c r="Z14" s="14">
        <f t="shared" si="9"/>
        <v>8.7152777777777784E-3</v>
      </c>
      <c r="AA14" s="7">
        <f t="shared" si="10"/>
        <v>10</v>
      </c>
      <c r="AB14" s="7">
        <f>VLOOKUP(AA14,'Место-баллы'!$A$3:$E$52,2,0)</f>
        <v>67</v>
      </c>
      <c r="AC14" s="10"/>
      <c r="AD14" s="7">
        <v>4</v>
      </c>
      <c r="AE14" s="7">
        <v>39</v>
      </c>
      <c r="AF14" s="14">
        <f t="shared" si="11"/>
        <v>3.2291666666666666E-3</v>
      </c>
      <c r="AG14" s="7">
        <v>11</v>
      </c>
      <c r="AH14" s="7">
        <v>5</v>
      </c>
      <c r="AI14" s="14">
        <f t="shared" si="12"/>
        <v>7.69675925925926E-3</v>
      </c>
      <c r="AJ14" s="7">
        <v>183</v>
      </c>
      <c r="AK14" s="7">
        <f t="shared" si="13"/>
        <v>17</v>
      </c>
      <c r="AL14" s="14">
        <f t="shared" si="14"/>
        <v>7.8935185185185185E-3</v>
      </c>
      <c r="AM14" s="7">
        <f t="shared" si="15"/>
        <v>7</v>
      </c>
      <c r="AN14" s="7">
        <f>VLOOKUP(AM14,'Место-баллы'!$A$3:$E$52,2,0)</f>
        <v>73</v>
      </c>
    </row>
    <row r="15" spans="2:40" x14ac:dyDescent="0.25">
      <c r="B15" s="7">
        <v>8</v>
      </c>
      <c r="C15" s="7">
        <f t="shared" si="1"/>
        <v>282</v>
      </c>
      <c r="D15" s="10"/>
      <c r="E15" s="16" t="s">
        <v>166</v>
      </c>
      <c r="F15" s="13"/>
      <c r="G15" s="10"/>
      <c r="H15" s="7">
        <v>110</v>
      </c>
      <c r="I15" s="7">
        <f t="shared" si="2"/>
        <v>8</v>
      </c>
      <c r="J15" s="7">
        <f>VLOOKUP(I15,'Место-баллы'!$A$3:$E$52,2,0)</f>
        <v>71</v>
      </c>
      <c r="K15" s="10"/>
      <c r="L15" s="7">
        <v>8</v>
      </c>
      <c r="M15" s="7">
        <v>5</v>
      </c>
      <c r="N15" s="14">
        <f t="shared" si="3"/>
        <v>5.6134259259259271E-3</v>
      </c>
      <c r="O15" s="7">
        <v>580</v>
      </c>
      <c r="P15" s="7">
        <f t="shared" si="4"/>
        <v>534</v>
      </c>
      <c r="Q15" s="14">
        <f t="shared" si="5"/>
        <v>1.1793981481481483E-2</v>
      </c>
      <c r="R15" s="7">
        <f t="shared" si="6"/>
        <v>10</v>
      </c>
      <c r="S15" s="7">
        <f>VLOOKUP(R15,'Место-баллы'!$A$3:$E$52,2,0)</f>
        <v>67</v>
      </c>
      <c r="T15" s="10"/>
      <c r="U15" s="7">
        <v>12</v>
      </c>
      <c r="V15" s="7">
        <v>5</v>
      </c>
      <c r="W15" s="14">
        <f t="shared" si="7"/>
        <v>8.3912037037037045E-3</v>
      </c>
      <c r="X15" s="7">
        <v>98</v>
      </c>
      <c r="Y15" s="7">
        <f t="shared" si="8"/>
        <v>14</v>
      </c>
      <c r="Z15" s="14">
        <f t="shared" si="9"/>
        <v>8.5532407407407415E-3</v>
      </c>
      <c r="AA15" s="7">
        <f t="shared" si="10"/>
        <v>7</v>
      </c>
      <c r="AB15" s="7">
        <f>VLOOKUP(AA15,'Место-баллы'!$A$3:$E$52,2,0)</f>
        <v>73</v>
      </c>
      <c r="AC15" s="10"/>
      <c r="AD15" s="7">
        <v>4</v>
      </c>
      <c r="AE15" s="7">
        <v>28</v>
      </c>
      <c r="AF15" s="14">
        <f t="shared" si="11"/>
        <v>3.1018518518518522E-3</v>
      </c>
      <c r="AG15" s="7">
        <v>11</v>
      </c>
      <c r="AH15" s="7">
        <v>5</v>
      </c>
      <c r="AI15" s="14">
        <f t="shared" si="12"/>
        <v>7.69675925925926E-3</v>
      </c>
      <c r="AJ15" s="7">
        <v>167</v>
      </c>
      <c r="AK15" s="7">
        <f t="shared" si="13"/>
        <v>33</v>
      </c>
      <c r="AL15" s="14">
        <f t="shared" si="14"/>
        <v>8.0787037037037043E-3</v>
      </c>
      <c r="AM15" s="7">
        <f t="shared" si="15"/>
        <v>8</v>
      </c>
      <c r="AN15" s="7">
        <f>VLOOKUP(AM15,'Место-баллы'!$A$3:$E$52,2,0)</f>
        <v>71</v>
      </c>
    </row>
    <row r="16" spans="2:40" x14ac:dyDescent="0.25">
      <c r="B16" s="7">
        <f t="shared" ref="B16:B23" si="16">RANK(C16,C$8:C$23,0)</f>
        <v>9</v>
      </c>
      <c r="C16" s="7">
        <f t="shared" si="1"/>
        <v>243</v>
      </c>
      <c r="D16" s="10"/>
      <c r="E16" s="16" t="s">
        <v>177</v>
      </c>
      <c r="F16" s="13" t="s">
        <v>227</v>
      </c>
      <c r="G16" s="10"/>
      <c r="H16" s="7">
        <v>121</v>
      </c>
      <c r="I16" s="7">
        <f t="shared" si="2"/>
        <v>3</v>
      </c>
      <c r="J16" s="7">
        <f>VLOOKUP(I16,'Место-баллы'!$A$3:$E$52,2,0)</f>
        <v>90</v>
      </c>
      <c r="K16" s="10"/>
      <c r="L16" s="7">
        <v>8</v>
      </c>
      <c r="M16" s="7">
        <v>5</v>
      </c>
      <c r="N16" s="14">
        <f t="shared" si="3"/>
        <v>5.6134259259259271E-3</v>
      </c>
      <c r="O16" s="7">
        <v>596</v>
      </c>
      <c r="P16" s="7">
        <f t="shared" si="4"/>
        <v>518</v>
      </c>
      <c r="Q16" s="14">
        <f t="shared" si="5"/>
        <v>1.1608796296296298E-2</v>
      </c>
      <c r="R16" s="7">
        <f t="shared" si="6"/>
        <v>5</v>
      </c>
      <c r="S16" s="7">
        <f>VLOOKUP(R16,'Место-баллы'!$A$3:$E$52,2,0)</f>
        <v>80</v>
      </c>
      <c r="T16" s="10"/>
      <c r="U16" s="7">
        <v>12</v>
      </c>
      <c r="V16" s="7">
        <v>5</v>
      </c>
      <c r="W16" s="14">
        <f t="shared" si="7"/>
        <v>8.3912037037037045E-3</v>
      </c>
      <c r="X16" s="7">
        <v>98</v>
      </c>
      <c r="Y16" s="7">
        <f t="shared" si="8"/>
        <v>14</v>
      </c>
      <c r="Z16" s="14">
        <f t="shared" si="9"/>
        <v>8.5532407407407415E-3</v>
      </c>
      <c r="AA16" s="7">
        <f t="shared" si="10"/>
        <v>7</v>
      </c>
      <c r="AB16" s="7">
        <f>VLOOKUP(AA16,'Место-баллы'!$A$3:$E$52,2,0)</f>
        <v>73</v>
      </c>
      <c r="AC16" s="10"/>
      <c r="AD16" s="7"/>
      <c r="AE16" s="7"/>
      <c r="AF16" s="14"/>
      <c r="AG16" s="7"/>
      <c r="AH16" s="7"/>
      <c r="AI16" s="14"/>
      <c r="AJ16" s="7"/>
      <c r="AK16" s="7"/>
      <c r="AL16" s="14"/>
      <c r="AM16" s="7"/>
      <c r="AN16" s="7">
        <v>0</v>
      </c>
    </row>
    <row r="17" spans="2:40" x14ac:dyDescent="0.25">
      <c r="B17" s="7">
        <f t="shared" si="16"/>
        <v>10</v>
      </c>
      <c r="C17" s="7">
        <f t="shared" si="1"/>
        <v>208</v>
      </c>
      <c r="D17" s="10"/>
      <c r="E17" s="16" t="s">
        <v>180</v>
      </c>
      <c r="F17" s="13"/>
      <c r="G17" s="10"/>
      <c r="H17" s="7">
        <v>115</v>
      </c>
      <c r="I17" s="7">
        <f t="shared" si="2"/>
        <v>5</v>
      </c>
      <c r="J17" s="7">
        <f>VLOOKUP(I17,'Место-баллы'!$A$3:$E$52,2,0)</f>
        <v>80</v>
      </c>
      <c r="K17" s="10"/>
      <c r="L17" s="7">
        <v>8</v>
      </c>
      <c r="M17" s="7">
        <v>5</v>
      </c>
      <c r="N17" s="14">
        <f t="shared" si="3"/>
        <v>5.6134259259259271E-3</v>
      </c>
      <c r="O17" s="7">
        <v>590</v>
      </c>
      <c r="P17" s="7">
        <f t="shared" si="4"/>
        <v>524</v>
      </c>
      <c r="Q17" s="14">
        <f t="shared" si="5"/>
        <v>1.1678240740740743E-2</v>
      </c>
      <c r="R17" s="7">
        <f t="shared" si="6"/>
        <v>9</v>
      </c>
      <c r="S17" s="7">
        <f>VLOOKUP(R17,'Место-баллы'!$A$3:$E$52,2,0)</f>
        <v>69</v>
      </c>
      <c r="T17" s="10"/>
      <c r="U17" s="7">
        <v>12</v>
      </c>
      <c r="V17" s="7">
        <v>5</v>
      </c>
      <c r="W17" s="14">
        <f t="shared" si="7"/>
        <v>8.3912037037037045E-3</v>
      </c>
      <c r="X17" s="7">
        <v>70</v>
      </c>
      <c r="Y17" s="7">
        <f t="shared" si="8"/>
        <v>42</v>
      </c>
      <c r="Z17" s="14">
        <f t="shared" si="9"/>
        <v>8.8773148148148153E-3</v>
      </c>
      <c r="AA17" s="7">
        <f t="shared" si="10"/>
        <v>14</v>
      </c>
      <c r="AB17" s="7">
        <f>VLOOKUP(AA17,'Место-баллы'!$A$3:$E$52,2,0)</f>
        <v>59</v>
      </c>
      <c r="AC17" s="10"/>
      <c r="AD17" s="7"/>
      <c r="AE17" s="7"/>
      <c r="AF17" s="14"/>
      <c r="AG17" s="7"/>
      <c r="AH17" s="7"/>
      <c r="AI17" s="14"/>
      <c r="AJ17" s="7"/>
      <c r="AK17" s="7"/>
      <c r="AL17" s="14"/>
      <c r="AM17" s="7"/>
      <c r="AN17" s="7">
        <v>0</v>
      </c>
    </row>
    <row r="18" spans="2:40" x14ac:dyDescent="0.25">
      <c r="B18" s="7">
        <f t="shared" si="16"/>
        <v>11</v>
      </c>
      <c r="C18" s="7">
        <f t="shared" si="1"/>
        <v>202</v>
      </c>
      <c r="D18" s="10"/>
      <c r="E18" s="16" t="s">
        <v>179</v>
      </c>
      <c r="F18" s="13" t="s">
        <v>98</v>
      </c>
      <c r="G18" s="10"/>
      <c r="H18" s="7">
        <v>100</v>
      </c>
      <c r="I18" s="7">
        <f t="shared" si="2"/>
        <v>14</v>
      </c>
      <c r="J18" s="7">
        <f>VLOOKUP(I18,'Место-баллы'!$A$3:$E$52,2,0)</f>
        <v>59</v>
      </c>
      <c r="K18" s="10"/>
      <c r="L18" s="7">
        <v>8</v>
      </c>
      <c r="M18" s="7">
        <v>5</v>
      </c>
      <c r="N18" s="14">
        <f t="shared" si="3"/>
        <v>5.6134259259259271E-3</v>
      </c>
      <c r="O18" s="7">
        <v>577</v>
      </c>
      <c r="P18" s="7">
        <f t="shared" si="4"/>
        <v>537</v>
      </c>
      <c r="Q18" s="14">
        <f t="shared" si="5"/>
        <v>1.1828703703703704E-2</v>
      </c>
      <c r="R18" s="7">
        <f t="shared" si="6"/>
        <v>12</v>
      </c>
      <c r="S18" s="7">
        <f>VLOOKUP(R18,'Место-баллы'!$A$3:$E$52,2,0)</f>
        <v>63</v>
      </c>
      <c r="T18" s="10"/>
      <c r="U18" s="7">
        <v>12</v>
      </c>
      <c r="V18" s="7">
        <v>5</v>
      </c>
      <c r="W18" s="14">
        <f t="shared" si="7"/>
        <v>8.3912037037037045E-3</v>
      </c>
      <c r="X18" s="7">
        <v>104</v>
      </c>
      <c r="Y18" s="7">
        <f t="shared" si="8"/>
        <v>8</v>
      </c>
      <c r="Z18" s="14">
        <f t="shared" si="9"/>
        <v>8.4837962962962966E-3</v>
      </c>
      <c r="AA18" s="7">
        <f t="shared" si="10"/>
        <v>5</v>
      </c>
      <c r="AB18" s="7">
        <f>VLOOKUP(AA18,'Место-баллы'!$A$3:$E$52,2,0)</f>
        <v>80</v>
      </c>
      <c r="AC18" s="10"/>
      <c r="AD18" s="7"/>
      <c r="AE18" s="7"/>
      <c r="AF18" s="14"/>
      <c r="AG18" s="7"/>
      <c r="AH18" s="7"/>
      <c r="AI18" s="14"/>
      <c r="AJ18" s="7"/>
      <c r="AK18" s="7"/>
      <c r="AL18" s="14"/>
      <c r="AM18" s="7"/>
      <c r="AN18" s="7">
        <v>0</v>
      </c>
    </row>
    <row r="19" spans="2:40" x14ac:dyDescent="0.25">
      <c r="B19" s="7">
        <f t="shared" si="16"/>
        <v>12</v>
      </c>
      <c r="C19" s="7">
        <f t="shared" si="1"/>
        <v>201</v>
      </c>
      <c r="D19" s="10"/>
      <c r="E19" s="16" t="s">
        <v>173</v>
      </c>
      <c r="F19" s="13"/>
      <c r="G19" s="10"/>
      <c r="H19" s="7">
        <v>108</v>
      </c>
      <c r="I19" s="7">
        <f t="shared" si="2"/>
        <v>9</v>
      </c>
      <c r="J19" s="7">
        <f>VLOOKUP(I19,'Место-баллы'!$A$3:$E$52,2,0)</f>
        <v>69</v>
      </c>
      <c r="K19" s="10"/>
      <c r="L19" s="7">
        <v>8</v>
      </c>
      <c r="M19" s="7">
        <v>5</v>
      </c>
      <c r="N19" s="14">
        <f t="shared" si="3"/>
        <v>5.6134259259259271E-3</v>
      </c>
      <c r="O19" s="7">
        <v>579</v>
      </c>
      <c r="P19" s="7">
        <f t="shared" si="4"/>
        <v>535</v>
      </c>
      <c r="Q19" s="14">
        <f t="shared" si="5"/>
        <v>1.1805555555555557E-2</v>
      </c>
      <c r="R19" s="7">
        <f t="shared" si="6"/>
        <v>11</v>
      </c>
      <c r="S19" s="7">
        <f>VLOOKUP(R19,'Место-баллы'!$A$3:$E$52,2,0)</f>
        <v>65</v>
      </c>
      <c r="T19" s="10"/>
      <c r="U19" s="7">
        <v>12</v>
      </c>
      <c r="V19" s="7">
        <v>5</v>
      </c>
      <c r="W19" s="14">
        <f t="shared" si="7"/>
        <v>8.3912037037037045E-3</v>
      </c>
      <c r="X19" s="7">
        <v>84</v>
      </c>
      <c r="Y19" s="7">
        <f t="shared" si="8"/>
        <v>28</v>
      </c>
      <c r="Z19" s="14">
        <f t="shared" si="9"/>
        <v>8.7152777777777784E-3</v>
      </c>
      <c r="AA19" s="7">
        <f t="shared" si="10"/>
        <v>10</v>
      </c>
      <c r="AB19" s="7">
        <f>VLOOKUP(AA19,'Место-баллы'!$A$3:$E$52,2,0)</f>
        <v>67</v>
      </c>
      <c r="AC19" s="10"/>
      <c r="AD19" s="7"/>
      <c r="AE19" s="7"/>
      <c r="AF19" s="14"/>
      <c r="AG19" s="7"/>
      <c r="AH19" s="7"/>
      <c r="AI19" s="14"/>
      <c r="AJ19" s="7"/>
      <c r="AK19" s="7"/>
      <c r="AL19" s="14"/>
      <c r="AM19" s="7"/>
      <c r="AN19" s="7">
        <v>0</v>
      </c>
    </row>
    <row r="20" spans="2:40" x14ac:dyDescent="0.25">
      <c r="B20" s="7">
        <f t="shared" si="16"/>
        <v>13</v>
      </c>
      <c r="C20" s="7">
        <f t="shared" si="1"/>
        <v>185</v>
      </c>
      <c r="D20" s="10"/>
      <c r="E20" s="16" t="s">
        <v>175</v>
      </c>
      <c r="F20" s="13"/>
      <c r="G20" s="10"/>
      <c r="H20" s="7">
        <v>105</v>
      </c>
      <c r="I20" s="7">
        <f t="shared" si="2"/>
        <v>12</v>
      </c>
      <c r="J20" s="7">
        <f>VLOOKUP(I20,'Место-баллы'!$A$3:$E$52,2,0)</f>
        <v>63</v>
      </c>
      <c r="K20" s="10"/>
      <c r="L20" s="7">
        <v>8</v>
      </c>
      <c r="M20" s="7">
        <v>5</v>
      </c>
      <c r="N20" s="14">
        <f t="shared" si="3"/>
        <v>5.6134259259259271E-3</v>
      </c>
      <c r="O20" s="7">
        <v>485</v>
      </c>
      <c r="P20" s="7">
        <f t="shared" si="4"/>
        <v>629</v>
      </c>
      <c r="Q20" s="14">
        <f t="shared" si="5"/>
        <v>1.2893518518518519E-2</v>
      </c>
      <c r="R20" s="7">
        <f t="shared" si="6"/>
        <v>16</v>
      </c>
      <c r="S20" s="7">
        <f>VLOOKUP(R20,'Место-баллы'!$A$3:$E$52,2,0)</f>
        <v>55</v>
      </c>
      <c r="T20" s="10"/>
      <c r="U20" s="7">
        <v>12</v>
      </c>
      <c r="V20" s="7">
        <v>5</v>
      </c>
      <c r="W20" s="14">
        <f t="shared" si="7"/>
        <v>8.3912037037037045E-3</v>
      </c>
      <c r="X20" s="7">
        <v>84</v>
      </c>
      <c r="Y20" s="7">
        <f t="shared" si="8"/>
        <v>28</v>
      </c>
      <c r="Z20" s="14">
        <f t="shared" si="9"/>
        <v>8.7152777777777784E-3</v>
      </c>
      <c r="AA20" s="7">
        <f t="shared" si="10"/>
        <v>10</v>
      </c>
      <c r="AB20" s="7">
        <f>VLOOKUP(AA20,'Место-баллы'!$A$3:$E$52,2,0)</f>
        <v>67</v>
      </c>
      <c r="AC20" s="10"/>
      <c r="AD20" s="7"/>
      <c r="AE20" s="7"/>
      <c r="AF20" s="14"/>
      <c r="AG20" s="7"/>
      <c r="AH20" s="7"/>
      <c r="AI20" s="14"/>
      <c r="AJ20" s="7"/>
      <c r="AK20" s="7"/>
      <c r="AL20" s="14"/>
      <c r="AM20" s="7"/>
      <c r="AN20" s="7">
        <v>0</v>
      </c>
    </row>
    <row r="21" spans="2:40" x14ac:dyDescent="0.25">
      <c r="B21" s="7">
        <f t="shared" si="16"/>
        <v>14</v>
      </c>
      <c r="C21" s="7">
        <f t="shared" si="1"/>
        <v>181</v>
      </c>
      <c r="D21" s="10"/>
      <c r="E21" s="16" t="s">
        <v>170</v>
      </c>
      <c r="F21" s="13"/>
      <c r="G21" s="10"/>
      <c r="H21" s="7">
        <v>85</v>
      </c>
      <c r="I21" s="7">
        <f t="shared" si="2"/>
        <v>16</v>
      </c>
      <c r="J21" s="7">
        <f>VLOOKUP(I21,'Место-баллы'!$A$3:$E$52,2,0)</f>
        <v>55</v>
      </c>
      <c r="K21" s="10"/>
      <c r="L21" s="7">
        <v>8</v>
      </c>
      <c r="M21" s="7">
        <v>5</v>
      </c>
      <c r="N21" s="14">
        <f t="shared" si="3"/>
        <v>5.6134259259259271E-3</v>
      </c>
      <c r="O21" s="7">
        <v>554</v>
      </c>
      <c r="P21" s="7">
        <f t="shared" si="4"/>
        <v>560</v>
      </c>
      <c r="Q21" s="14">
        <f t="shared" si="5"/>
        <v>1.2094907407407408E-2</v>
      </c>
      <c r="R21" s="7">
        <f t="shared" si="6"/>
        <v>15</v>
      </c>
      <c r="S21" s="7">
        <f>VLOOKUP(R21,'Место-баллы'!$A$3:$E$52,2,0)</f>
        <v>57</v>
      </c>
      <c r="T21" s="10"/>
      <c r="U21" s="7">
        <v>12</v>
      </c>
      <c r="V21" s="7">
        <v>5</v>
      </c>
      <c r="W21" s="14">
        <f t="shared" si="7"/>
        <v>8.3912037037037045E-3</v>
      </c>
      <c r="X21" s="7">
        <v>88</v>
      </c>
      <c r="Y21" s="7">
        <f t="shared" si="8"/>
        <v>24</v>
      </c>
      <c r="Z21" s="14">
        <f t="shared" si="9"/>
        <v>8.6689814814814824E-3</v>
      </c>
      <c r="AA21" s="7">
        <f t="shared" si="10"/>
        <v>9</v>
      </c>
      <c r="AB21" s="7">
        <f>VLOOKUP(AA21,'Место-баллы'!$A$3:$E$52,2,0)</f>
        <v>69</v>
      </c>
      <c r="AC21" s="10"/>
      <c r="AD21" s="7"/>
      <c r="AE21" s="7"/>
      <c r="AF21" s="14"/>
      <c r="AG21" s="7"/>
      <c r="AH21" s="7"/>
      <c r="AI21" s="14"/>
      <c r="AJ21" s="7"/>
      <c r="AK21" s="7"/>
      <c r="AL21" s="14"/>
      <c r="AM21" s="7"/>
      <c r="AN21" s="7">
        <v>0</v>
      </c>
    </row>
    <row r="22" spans="2:40" x14ac:dyDescent="0.25">
      <c r="B22" s="7">
        <f t="shared" si="16"/>
        <v>15</v>
      </c>
      <c r="C22" s="7">
        <f t="shared" si="1"/>
        <v>179</v>
      </c>
      <c r="D22" s="10"/>
      <c r="E22" s="16" t="s">
        <v>171</v>
      </c>
      <c r="F22" s="13" t="s">
        <v>219</v>
      </c>
      <c r="G22" s="10"/>
      <c r="H22" s="7">
        <v>102</v>
      </c>
      <c r="I22" s="7">
        <f t="shared" si="2"/>
        <v>13</v>
      </c>
      <c r="J22" s="7">
        <f>VLOOKUP(I22,'Место-баллы'!$A$3:$E$52,2,0)</f>
        <v>61</v>
      </c>
      <c r="K22" s="10"/>
      <c r="L22" s="7">
        <v>8</v>
      </c>
      <c r="M22" s="7">
        <v>5</v>
      </c>
      <c r="N22" s="14">
        <f t="shared" si="3"/>
        <v>5.6134259259259271E-3</v>
      </c>
      <c r="O22" s="7">
        <f>554+16</f>
        <v>570</v>
      </c>
      <c r="P22" s="7">
        <f t="shared" si="4"/>
        <v>544</v>
      </c>
      <c r="Q22" s="14">
        <f t="shared" si="5"/>
        <v>1.1909722222222224E-2</v>
      </c>
      <c r="R22" s="7">
        <f t="shared" si="6"/>
        <v>13</v>
      </c>
      <c r="S22" s="7">
        <f>VLOOKUP(R22,'Место-баллы'!$A$3:$E$52,2,0)</f>
        <v>61</v>
      </c>
      <c r="T22" s="10"/>
      <c r="U22" s="7">
        <v>12</v>
      </c>
      <c r="V22" s="7">
        <v>5</v>
      </c>
      <c r="W22" s="14">
        <f t="shared" si="7"/>
        <v>8.3912037037037045E-3</v>
      </c>
      <c r="X22" s="7">
        <v>56</v>
      </c>
      <c r="Y22" s="7">
        <f t="shared" si="8"/>
        <v>56</v>
      </c>
      <c r="Z22" s="14">
        <f t="shared" si="9"/>
        <v>9.0393518518518522E-3</v>
      </c>
      <c r="AA22" s="7">
        <f t="shared" si="10"/>
        <v>15</v>
      </c>
      <c r="AB22" s="7">
        <f>VLOOKUP(AA22,'Место-баллы'!$A$3:$E$52,2,0)</f>
        <v>57</v>
      </c>
      <c r="AC22" s="10"/>
      <c r="AD22" s="7"/>
      <c r="AE22" s="7"/>
      <c r="AF22" s="14"/>
      <c r="AG22" s="7"/>
      <c r="AH22" s="7"/>
      <c r="AI22" s="14"/>
      <c r="AJ22" s="7"/>
      <c r="AK22" s="7"/>
      <c r="AL22" s="14"/>
      <c r="AM22" s="7"/>
      <c r="AN22" s="7">
        <v>0</v>
      </c>
    </row>
    <row r="23" spans="2:40" x14ac:dyDescent="0.25">
      <c r="B23" s="7">
        <f t="shared" si="16"/>
        <v>16</v>
      </c>
      <c r="C23" s="7">
        <f t="shared" si="1"/>
        <v>173</v>
      </c>
      <c r="D23" s="10"/>
      <c r="E23" s="16" t="s">
        <v>169</v>
      </c>
      <c r="F23" s="13"/>
      <c r="G23" s="10"/>
      <c r="H23" s="7">
        <v>100</v>
      </c>
      <c r="I23" s="7">
        <f t="shared" si="2"/>
        <v>14</v>
      </c>
      <c r="J23" s="7">
        <f>VLOOKUP(I23,'Место-баллы'!$A$3:$E$52,2,0)</f>
        <v>59</v>
      </c>
      <c r="K23" s="10"/>
      <c r="L23" s="7">
        <v>8</v>
      </c>
      <c r="M23" s="7">
        <v>5</v>
      </c>
      <c r="N23" s="14">
        <f t="shared" si="3"/>
        <v>5.6134259259259271E-3</v>
      </c>
      <c r="O23" s="7">
        <v>559</v>
      </c>
      <c r="P23" s="7">
        <f t="shared" si="4"/>
        <v>555</v>
      </c>
      <c r="Q23" s="14">
        <f t="shared" si="5"/>
        <v>1.2037037037037039E-2</v>
      </c>
      <c r="R23" s="7">
        <f t="shared" si="6"/>
        <v>14</v>
      </c>
      <c r="S23" s="7">
        <f>VLOOKUP(R23,'Место-баллы'!$A$3:$E$52,2,0)</f>
        <v>59</v>
      </c>
      <c r="T23" s="10"/>
      <c r="U23" s="7">
        <v>12</v>
      </c>
      <c r="V23" s="7">
        <v>5</v>
      </c>
      <c r="W23" s="14">
        <f t="shared" si="7"/>
        <v>8.3912037037037045E-3</v>
      </c>
      <c r="X23" s="7">
        <v>42</v>
      </c>
      <c r="Y23" s="7">
        <f t="shared" si="8"/>
        <v>70</v>
      </c>
      <c r="Z23" s="14">
        <f t="shared" si="9"/>
        <v>9.2013888888888892E-3</v>
      </c>
      <c r="AA23" s="7">
        <f t="shared" si="10"/>
        <v>16</v>
      </c>
      <c r="AB23" s="7">
        <f>VLOOKUP(AA23,'Место-баллы'!$A$3:$E$52,2,0)</f>
        <v>55</v>
      </c>
      <c r="AC23" s="10"/>
      <c r="AD23" s="7"/>
      <c r="AE23" s="7"/>
      <c r="AF23" s="14"/>
      <c r="AG23" s="7"/>
      <c r="AH23" s="7"/>
      <c r="AI23" s="14"/>
      <c r="AJ23" s="7"/>
      <c r="AK23" s="7"/>
      <c r="AL23" s="14"/>
      <c r="AM23" s="7"/>
      <c r="AN23" s="7">
        <v>0</v>
      </c>
    </row>
    <row r="24" spans="2:40" ht="15.75" customHeight="1" x14ac:dyDescent="0.25"/>
    <row r="25" spans="2:40" ht="15.75" customHeight="1" x14ac:dyDescent="0.25"/>
    <row r="26" spans="2:40" ht="15.75" customHeight="1" x14ac:dyDescent="0.25"/>
    <row r="27" spans="2:40" ht="15.75" customHeight="1" x14ac:dyDescent="0.25"/>
    <row r="28" spans="2:40" ht="15.75" customHeight="1" x14ac:dyDescent="0.25"/>
    <row r="29" spans="2:40" ht="15.75" customHeight="1" x14ac:dyDescent="0.25"/>
    <row r="30" spans="2:40" ht="15.75" customHeight="1" x14ac:dyDescent="0.25"/>
  </sheetData>
  <autoFilter ref="B7:AN7" xr:uid="{FF6B3E33-5DB9-46C1-B4A3-A00464A429C1}">
    <sortState xmlns:xlrd2="http://schemas.microsoft.com/office/spreadsheetml/2017/richdata2" ref="B8:AN23">
      <sortCondition ref="B7"/>
    </sortState>
  </autoFilter>
  <mergeCells count="6">
    <mergeCell ref="AD5:AN6"/>
    <mergeCell ref="B5:C6"/>
    <mergeCell ref="E5:F6"/>
    <mergeCell ref="H5:J6"/>
    <mergeCell ref="L5:S6"/>
    <mergeCell ref="U5:AB6"/>
  </mergeCells>
  <printOptions horizontalCentered="1" verticalCentered="1"/>
  <pageMargins left="0" right="0" top="0" bottom="0" header="0" footer="0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15ED-777C-4E42-A471-A3BC6BF9E334}">
  <sheetPr>
    <pageSetUpPr fitToPage="1"/>
  </sheetPr>
  <dimension ref="B1:AN35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I15" sqref="I15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7.85546875" bestFit="1" customWidth="1"/>
    <col min="6" max="6" width="20.710937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customWidth="1" collapsed="1"/>
    <col min="15" max="15" width="6.85546875" customWidth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hidden="1" customWidth="1" outlineLevel="1"/>
    <col min="24" max="24" width="6.85546875" customWidth="1" collapsed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9.140625" bestFit="1" customWidth="1" collapsed="1"/>
    <col min="33" max="33" width="5.140625" hidden="1" customWidth="1" outlineLevel="1"/>
    <col min="34" max="34" width="4.28515625" hidden="1" customWidth="1" outlineLevel="1"/>
    <col min="35" max="35" width="7.140625" customWidth="1" collapsed="1"/>
    <col min="36" max="36" width="6.85546875" customWidth="1"/>
    <col min="37" max="37" width="7.85546875" hidden="1" customWidth="1" outlineLevel="1"/>
    <col min="38" max="38" width="7.140625" hidden="1" customWidth="1" outlineLevel="1"/>
    <col min="39" max="39" width="7.140625" customWidth="1" collapsed="1"/>
    <col min="40" max="40" width="6.85546875" customWidth="1"/>
  </cols>
  <sheetData>
    <row r="1" spans="2:40" x14ac:dyDescent="0.25">
      <c r="E1" s="12"/>
      <c r="F1" s="12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U1" s="3"/>
      <c r="V1" s="3"/>
      <c r="W1" s="3"/>
      <c r="X1" s="3"/>
      <c r="Y1" s="3"/>
      <c r="Z1" s="3"/>
      <c r="AA1" s="3"/>
      <c r="AB1" s="4">
        <v>1</v>
      </c>
      <c r="AG1" s="3"/>
      <c r="AH1" s="3"/>
      <c r="AI1" s="3"/>
      <c r="AJ1" s="3"/>
      <c r="AK1" s="3"/>
      <c r="AL1" s="3"/>
      <c r="AM1" s="3"/>
      <c r="AN1" s="4">
        <v>1</v>
      </c>
    </row>
    <row r="2" spans="2:40" x14ac:dyDescent="0.25">
      <c r="E2" s="12"/>
      <c r="F2" s="12"/>
      <c r="H2" s="3"/>
      <c r="I2" s="3"/>
      <c r="J2" s="3"/>
      <c r="L2" s="3"/>
      <c r="M2" s="3"/>
      <c r="N2" s="3"/>
      <c r="O2" s="5">
        <v>790</v>
      </c>
      <c r="P2" s="3"/>
      <c r="Q2" s="3"/>
      <c r="R2" s="3"/>
      <c r="S2" s="3"/>
      <c r="U2" s="3"/>
      <c r="V2" s="3"/>
      <c r="W2" s="3"/>
      <c r="X2" s="5">
        <v>98</v>
      </c>
      <c r="Y2" s="3"/>
      <c r="Z2" s="3"/>
      <c r="AA2" s="3"/>
      <c r="AB2" s="3"/>
      <c r="AG2" s="3"/>
      <c r="AH2" s="3"/>
      <c r="AI2" s="3"/>
      <c r="AJ2" s="5">
        <v>160</v>
      </c>
      <c r="AK2" s="3"/>
      <c r="AL2" s="3"/>
      <c r="AM2" s="3"/>
      <c r="AN2" s="3"/>
    </row>
    <row r="3" spans="2:40" x14ac:dyDescent="0.25">
      <c r="E3" s="12"/>
      <c r="F3" s="12"/>
      <c r="H3" s="6"/>
      <c r="I3" s="3"/>
      <c r="J3" s="3"/>
      <c r="L3" s="3"/>
      <c r="M3" s="3"/>
      <c r="N3" s="3"/>
      <c r="O3" s="6" t="s">
        <v>47</v>
      </c>
      <c r="P3" s="3"/>
      <c r="Q3" s="3"/>
      <c r="R3" s="3"/>
      <c r="S3" s="3"/>
      <c r="U3" s="3"/>
      <c r="V3" s="3"/>
      <c r="W3" s="3"/>
      <c r="X3" s="6" t="s">
        <v>24</v>
      </c>
      <c r="Y3" s="3"/>
      <c r="Z3" s="3"/>
      <c r="AA3" s="3"/>
      <c r="AB3" s="3"/>
      <c r="AG3" s="3"/>
      <c r="AH3" s="3"/>
      <c r="AI3" s="3"/>
      <c r="AJ3" s="6" t="s">
        <v>28</v>
      </c>
      <c r="AK3" s="3"/>
      <c r="AL3" s="3"/>
      <c r="AM3" s="3"/>
      <c r="AN3" s="3"/>
    </row>
    <row r="4" spans="2:40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G4" s="3"/>
      <c r="AH4" s="3"/>
      <c r="AI4" s="3"/>
      <c r="AJ4" s="3"/>
      <c r="AK4" s="3"/>
      <c r="AL4" s="3"/>
      <c r="AM4" s="3"/>
      <c r="AN4" s="3"/>
    </row>
    <row r="5" spans="2:40" ht="15" customHeight="1" x14ac:dyDescent="0.25">
      <c r="B5" s="23" t="s">
        <v>4</v>
      </c>
      <c r="C5" s="24"/>
      <c r="D5" s="7"/>
      <c r="E5" s="25" t="s">
        <v>37</v>
      </c>
      <c r="F5" s="26"/>
      <c r="G5" s="7"/>
      <c r="H5" s="25" t="s">
        <v>22</v>
      </c>
      <c r="I5" s="29"/>
      <c r="J5" s="26"/>
      <c r="K5" s="7"/>
      <c r="L5" s="23" t="s">
        <v>23</v>
      </c>
      <c r="M5" s="24"/>
      <c r="N5" s="24"/>
      <c r="O5" s="24"/>
      <c r="P5" s="24"/>
      <c r="Q5" s="24"/>
      <c r="R5" s="24"/>
      <c r="S5" s="24"/>
      <c r="T5" s="7"/>
      <c r="U5" s="23" t="s">
        <v>5</v>
      </c>
      <c r="V5" s="24"/>
      <c r="W5" s="24"/>
      <c r="X5" s="24"/>
      <c r="Y5" s="24"/>
      <c r="Z5" s="24"/>
      <c r="AA5" s="24"/>
      <c r="AB5" s="24"/>
      <c r="AC5" s="7"/>
      <c r="AD5" s="25" t="s">
        <v>6</v>
      </c>
      <c r="AE5" s="29"/>
      <c r="AF5" s="29"/>
      <c r="AG5" s="29"/>
      <c r="AH5" s="29"/>
      <c r="AI5" s="29"/>
      <c r="AJ5" s="29"/>
      <c r="AK5" s="29"/>
      <c r="AL5" s="29"/>
      <c r="AM5" s="29"/>
      <c r="AN5" s="26"/>
    </row>
    <row r="6" spans="2:40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4"/>
      <c r="M6" s="24"/>
      <c r="N6" s="24"/>
      <c r="O6" s="24"/>
      <c r="P6" s="24"/>
      <c r="Q6" s="24"/>
      <c r="R6" s="24"/>
      <c r="S6" s="24"/>
      <c r="T6" s="8"/>
      <c r="U6" s="24"/>
      <c r="V6" s="24"/>
      <c r="W6" s="24"/>
      <c r="X6" s="24"/>
      <c r="Y6" s="24"/>
      <c r="Z6" s="24"/>
      <c r="AA6" s="24"/>
      <c r="AB6" s="24"/>
      <c r="AC6" s="8"/>
      <c r="AD6" s="27"/>
      <c r="AE6" s="30"/>
      <c r="AF6" s="30"/>
      <c r="AG6" s="30"/>
      <c r="AH6" s="30"/>
      <c r="AI6" s="30"/>
      <c r="AJ6" s="30"/>
      <c r="AK6" s="30"/>
      <c r="AL6" s="30"/>
      <c r="AM6" s="30"/>
      <c r="AN6" s="28"/>
    </row>
    <row r="7" spans="2:40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8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27</v>
      </c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</row>
    <row r="8" spans="2:40" x14ac:dyDescent="0.25">
      <c r="B8" s="7">
        <f>RANK(C8,C$8:C$9,0)</f>
        <v>1</v>
      </c>
      <c r="C8" s="7">
        <f>SUMIF($H$1:$AN$1,1,$H8:$AN8)</f>
        <v>390</v>
      </c>
      <c r="D8" s="10"/>
      <c r="E8" s="16" t="s">
        <v>142</v>
      </c>
      <c r="F8" s="13"/>
      <c r="G8" s="10"/>
      <c r="H8" s="7">
        <v>71</v>
      </c>
      <c r="I8" s="7">
        <f>RANK(H8,H$8:H$9,0)</f>
        <v>1</v>
      </c>
      <c r="J8" s="7">
        <f>VLOOKUP(I8,'Место-баллы'!$A$3:$E$52,2,0)</f>
        <v>100</v>
      </c>
      <c r="K8" s="10"/>
      <c r="L8" s="7">
        <v>8</v>
      </c>
      <c r="M8" s="7">
        <v>5</v>
      </c>
      <c r="N8" s="14">
        <f>TIME(0,L8,M8)</f>
        <v>5.6134259259259271E-3</v>
      </c>
      <c r="O8" s="7">
        <f>440+185</f>
        <v>625</v>
      </c>
      <c r="P8" s="7">
        <f>O$2-O8</f>
        <v>165</v>
      </c>
      <c r="Q8" s="14">
        <f>N8+TIME(0,0,P8)</f>
        <v>7.5231481481481495E-3</v>
      </c>
      <c r="R8" s="7">
        <f>RANK(Q8,Q$8:Q$9,1)</f>
        <v>2</v>
      </c>
      <c r="S8" s="7">
        <f>VLOOKUP(R8,'Место-баллы'!$A$3:$E$52,2,0)</f>
        <v>95</v>
      </c>
      <c r="T8" s="10"/>
      <c r="U8" s="7">
        <v>12</v>
      </c>
      <c r="V8" s="7">
        <v>5</v>
      </c>
      <c r="W8" s="14">
        <f>TIME(0,U8,V8)</f>
        <v>8.3912037037037045E-3</v>
      </c>
      <c r="X8" s="7">
        <v>84</v>
      </c>
      <c r="Y8" s="7">
        <f>X$2-X8</f>
        <v>14</v>
      </c>
      <c r="Z8" s="14">
        <f>W8+TIME(0,0,Y8)</f>
        <v>8.5532407407407415E-3</v>
      </c>
      <c r="AA8" s="7">
        <f>RANK(Z8,Z$8:Z$9,1)</f>
        <v>2</v>
      </c>
      <c r="AB8" s="7">
        <f>VLOOKUP(AA8,'Место-баллы'!$A$3:$E$52,2,0)</f>
        <v>95</v>
      </c>
      <c r="AC8" s="10"/>
      <c r="AD8" s="7">
        <v>2</v>
      </c>
      <c r="AE8" s="7">
        <v>14</v>
      </c>
      <c r="AF8" s="14">
        <f>TIME(0,AD8,AE8)</f>
        <v>1.5509259259259261E-3</v>
      </c>
      <c r="AG8" s="7">
        <v>5</v>
      </c>
      <c r="AH8" s="7">
        <v>57</v>
      </c>
      <c r="AI8" s="14">
        <f>TIME(0,AG8,AH8)</f>
        <v>4.1319444444444442E-3</v>
      </c>
      <c r="AJ8" s="7">
        <v>160</v>
      </c>
      <c r="AK8" s="7">
        <f>AJ$2-AJ8</f>
        <v>0</v>
      </c>
      <c r="AL8" s="14">
        <f>AI8+TIME(0,0,AK8)</f>
        <v>4.1319444444444442E-3</v>
      </c>
      <c r="AM8" s="7">
        <f>RANK(AL8,AL$8:AL$9,1)</f>
        <v>1</v>
      </c>
      <c r="AN8" s="7">
        <f>VLOOKUP(AM8,'Место-баллы'!$A$3:$E$52,2,0)</f>
        <v>100</v>
      </c>
    </row>
    <row r="9" spans="2:40" x14ac:dyDescent="0.25">
      <c r="B9" s="7">
        <v>2</v>
      </c>
      <c r="C9" s="7">
        <f>SUMIF($H$1:$AN$1,1,$H9:$AN9)</f>
        <v>390</v>
      </c>
      <c r="D9" s="10"/>
      <c r="E9" s="16" t="s">
        <v>143</v>
      </c>
      <c r="F9" s="13"/>
      <c r="G9" s="10"/>
      <c r="H9" s="7">
        <v>70</v>
      </c>
      <c r="I9" s="7">
        <f>RANK(H9,H$8:H$9,0)</f>
        <v>2</v>
      </c>
      <c r="J9" s="7">
        <f>VLOOKUP(I9,'Место-баллы'!$A$3:$E$52,2,0)</f>
        <v>95</v>
      </c>
      <c r="K9" s="10"/>
      <c r="L9" s="7">
        <v>8</v>
      </c>
      <c r="M9" s="7">
        <v>5</v>
      </c>
      <c r="N9" s="14">
        <f>TIME(0,L9,M9)</f>
        <v>5.6134259259259271E-3</v>
      </c>
      <c r="O9" s="7">
        <v>790</v>
      </c>
      <c r="P9" s="7">
        <f>O$2-O9</f>
        <v>0</v>
      </c>
      <c r="Q9" s="14">
        <f>N9+TIME(0,0,P9)</f>
        <v>5.6134259259259271E-3</v>
      </c>
      <c r="R9" s="7">
        <f>RANK(Q9,Q$8:Q$9,1)</f>
        <v>1</v>
      </c>
      <c r="S9" s="7">
        <f>VLOOKUP(R9,'Место-баллы'!$A$3:$E$52,2,0)</f>
        <v>100</v>
      </c>
      <c r="T9" s="10"/>
      <c r="U9" s="7">
        <v>12</v>
      </c>
      <c r="V9" s="7">
        <v>5</v>
      </c>
      <c r="W9" s="14">
        <f>TIME(0,U9,V9)</f>
        <v>8.3912037037037045E-3</v>
      </c>
      <c r="X9" s="7">
        <v>90</v>
      </c>
      <c r="Y9" s="7">
        <f>X$2-X9</f>
        <v>8</v>
      </c>
      <c r="Z9" s="14">
        <f>W9+TIME(0,0,Y9)</f>
        <v>8.4837962962962966E-3</v>
      </c>
      <c r="AA9" s="7">
        <f>RANK(Z9,Z$8:Z$9,1)</f>
        <v>1</v>
      </c>
      <c r="AB9" s="7">
        <f>VLOOKUP(AA9,'Место-баллы'!$A$3:$E$52,2,0)</f>
        <v>100</v>
      </c>
      <c r="AC9" s="10"/>
      <c r="AD9" s="7">
        <v>2</v>
      </c>
      <c r="AE9" s="7">
        <v>14</v>
      </c>
      <c r="AF9" s="14">
        <f>TIME(0,AD9,AE9)</f>
        <v>1.5509259259259261E-3</v>
      </c>
      <c r="AG9" s="7">
        <v>6</v>
      </c>
      <c r="AH9" s="7">
        <v>57</v>
      </c>
      <c r="AI9" s="14">
        <f>TIME(0,AG9,AH9)</f>
        <v>4.8263888888888887E-3</v>
      </c>
      <c r="AJ9" s="7">
        <v>160</v>
      </c>
      <c r="AK9" s="7">
        <f>AJ$2-AJ9</f>
        <v>0</v>
      </c>
      <c r="AL9" s="14">
        <f>AI9+TIME(0,0,AK9)</f>
        <v>4.8263888888888887E-3</v>
      </c>
      <c r="AM9" s="7">
        <f>RANK(AL9,AL$8:AL$9,1)</f>
        <v>2</v>
      </c>
      <c r="AN9" s="7">
        <f>VLOOKUP(AM9,'Место-баллы'!$A$3:$E$52,2,0)</f>
        <v>95</v>
      </c>
    </row>
    <row r="10" spans="2:40" ht="15.75" customHeight="1" x14ac:dyDescent="0.25"/>
    <row r="11" spans="2:40" ht="15.75" customHeight="1" x14ac:dyDescent="0.25"/>
    <row r="12" spans="2:40" ht="15.75" customHeight="1" x14ac:dyDescent="0.25"/>
    <row r="13" spans="2:40" ht="15.75" customHeight="1" x14ac:dyDescent="0.25"/>
    <row r="14" spans="2:40" ht="15.75" customHeight="1" x14ac:dyDescent="0.25"/>
    <row r="15" spans="2:40" ht="15.75" customHeight="1" x14ac:dyDescent="0.25"/>
    <row r="16" spans="2:4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</sheetData>
  <autoFilter ref="B7:AN7" xr:uid="{EA2715ED-777C-4E42-A471-A3BC6BF9E334}">
    <sortState xmlns:xlrd2="http://schemas.microsoft.com/office/spreadsheetml/2017/richdata2" ref="B8:AN9">
      <sortCondition ref="AM7"/>
    </sortState>
  </autoFilter>
  <mergeCells count="6">
    <mergeCell ref="AD5:AN6"/>
    <mergeCell ref="B5:C6"/>
    <mergeCell ref="E5:F6"/>
    <mergeCell ref="H5:J6"/>
    <mergeCell ref="L5:S6"/>
    <mergeCell ref="U5:AB6"/>
  </mergeCells>
  <printOptions horizontalCentered="1" verticalCentered="1"/>
  <pageMargins left="0" right="0" top="0" bottom="0" header="0" footer="0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898E2-7F64-4CBD-A8BD-BF170FA1F432}">
  <sheetPr>
    <pageSetUpPr fitToPage="1"/>
  </sheetPr>
  <dimension ref="B1:AN46"/>
  <sheetViews>
    <sheetView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J8" sqref="J8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2" bestFit="1" customWidth="1"/>
    <col min="6" max="6" width="20.7109375" hidden="1" customWidth="1" outlineLevel="1"/>
    <col min="7" max="7" width="1.42578125" customWidth="1" collapsed="1"/>
    <col min="8" max="8" width="6.85546875" customWidth="1"/>
    <col min="9" max="9" width="7.140625" customWidth="1"/>
    <col min="10" max="10" width="6.85546875" customWidth="1"/>
    <col min="11" max="11" width="1.42578125" customWidth="1"/>
    <col min="12" max="12" width="5.140625" hidden="1" customWidth="1" outlineLevel="1"/>
    <col min="13" max="13" width="4.28515625" hidden="1" customWidth="1" outlineLevel="1"/>
    <col min="14" max="14" width="7.140625" customWidth="1" collapsed="1"/>
    <col min="15" max="15" width="6.85546875" customWidth="1"/>
    <col min="16" max="16" width="7.85546875" hidden="1" customWidth="1" outlineLevel="1"/>
    <col min="17" max="17" width="7.140625" hidden="1" customWidth="1" outlineLevel="1"/>
    <col min="18" max="18" width="7.140625" customWidth="1" collapsed="1"/>
    <col min="19" max="19" width="6.85546875" customWidth="1"/>
    <col min="20" max="20" width="1.42578125" customWidth="1"/>
    <col min="21" max="21" width="5.140625" hidden="1" customWidth="1" outlineLevel="1"/>
    <col min="22" max="22" width="4.28515625" hidden="1" customWidth="1" outlineLevel="1"/>
    <col min="23" max="23" width="7.140625" customWidth="1" collapsed="1"/>
    <col min="24" max="24" width="6.85546875" customWidth="1"/>
    <col min="25" max="25" width="7.85546875" hidden="1" customWidth="1" outlineLevel="1"/>
    <col min="26" max="26" width="7.140625" hidden="1" customWidth="1" outlineLevel="1"/>
    <col min="27" max="27" width="7.140625" customWidth="1" collapsed="1"/>
    <col min="28" max="28" width="6.85546875" customWidth="1"/>
    <col min="29" max="29" width="1.42578125" customWidth="1"/>
    <col min="30" max="30" width="5.140625" hidden="1" customWidth="1" outlineLevel="1"/>
    <col min="31" max="31" width="4.28515625" hidden="1" customWidth="1" outlineLevel="1"/>
    <col min="32" max="32" width="9.140625" bestFit="1" customWidth="1" collapsed="1"/>
    <col min="33" max="33" width="5.140625" hidden="1" customWidth="1" outlineLevel="1"/>
    <col min="34" max="34" width="4.28515625" hidden="1" customWidth="1" outlineLevel="1"/>
    <col min="35" max="35" width="7.140625" customWidth="1" collapsed="1"/>
    <col min="36" max="36" width="6.85546875" customWidth="1"/>
    <col min="37" max="37" width="7.85546875" hidden="1" customWidth="1" outlineLevel="1"/>
    <col min="38" max="38" width="7.140625" hidden="1" customWidth="1" outlineLevel="1"/>
    <col min="39" max="39" width="7.140625" customWidth="1" collapsed="1"/>
    <col min="40" max="40" width="6.85546875" customWidth="1"/>
  </cols>
  <sheetData>
    <row r="1" spans="2:40" x14ac:dyDescent="0.25">
      <c r="E1" s="12"/>
      <c r="F1" s="12"/>
      <c r="H1" s="3"/>
      <c r="I1" s="3"/>
      <c r="J1" s="4">
        <v>1</v>
      </c>
      <c r="L1" s="3"/>
      <c r="M1" s="3"/>
      <c r="N1" s="3"/>
      <c r="O1" s="3"/>
      <c r="P1" s="3"/>
      <c r="Q1" s="3"/>
      <c r="R1" s="3"/>
      <c r="S1" s="4">
        <v>1</v>
      </c>
      <c r="U1" s="3"/>
      <c r="V1" s="3"/>
      <c r="W1" s="3"/>
      <c r="X1" s="3"/>
      <c r="Y1" s="3"/>
      <c r="Z1" s="3"/>
      <c r="AA1" s="3"/>
      <c r="AB1" s="4">
        <v>1</v>
      </c>
      <c r="AG1" s="3"/>
      <c r="AH1" s="3"/>
      <c r="AI1" s="3"/>
      <c r="AJ1" s="3"/>
      <c r="AK1" s="3"/>
      <c r="AL1" s="3"/>
      <c r="AM1" s="3"/>
      <c r="AN1" s="4">
        <v>1</v>
      </c>
    </row>
    <row r="2" spans="2:40" x14ac:dyDescent="0.25">
      <c r="E2" s="12"/>
      <c r="F2" s="12"/>
      <c r="H2" s="3"/>
      <c r="I2" s="3"/>
      <c r="J2" s="3"/>
      <c r="L2" s="3"/>
      <c r="M2" s="3"/>
      <c r="N2" s="3"/>
      <c r="O2" s="5">
        <v>1090</v>
      </c>
      <c r="P2" s="3"/>
      <c r="Q2" s="3"/>
      <c r="R2" s="3"/>
      <c r="S2" s="3"/>
      <c r="U2" s="3"/>
      <c r="V2" s="3"/>
      <c r="W2" s="3"/>
      <c r="X2" s="5">
        <f>98+1+5+8</f>
        <v>112</v>
      </c>
      <c r="Y2" s="3"/>
      <c r="Z2" s="3"/>
      <c r="AA2" s="3"/>
      <c r="AB2" s="3"/>
      <c r="AG2" s="3"/>
      <c r="AH2" s="3"/>
      <c r="AI2" s="3"/>
      <c r="AJ2" s="5">
        <v>170</v>
      </c>
      <c r="AK2" s="3"/>
      <c r="AL2" s="3"/>
      <c r="AM2" s="3"/>
      <c r="AN2" s="3"/>
    </row>
    <row r="3" spans="2:40" x14ac:dyDescent="0.25">
      <c r="E3" s="12"/>
      <c r="F3" s="12"/>
      <c r="H3" s="6"/>
      <c r="I3" s="3"/>
      <c r="J3" s="3"/>
      <c r="L3" s="3"/>
      <c r="M3" s="3"/>
      <c r="N3" s="3"/>
      <c r="O3" s="6" t="s">
        <v>47</v>
      </c>
      <c r="P3" s="3"/>
      <c r="Q3" s="3"/>
      <c r="R3" s="3"/>
      <c r="S3" s="3"/>
      <c r="U3" s="3"/>
      <c r="V3" s="3"/>
      <c r="W3" s="3"/>
      <c r="X3" s="6" t="s">
        <v>24</v>
      </c>
      <c r="Y3" s="3"/>
      <c r="Z3" s="3"/>
      <c r="AA3" s="3"/>
      <c r="AB3" s="3"/>
      <c r="AG3" s="3"/>
      <c r="AH3" s="3"/>
      <c r="AI3" s="3"/>
      <c r="AJ3" s="6" t="s">
        <v>28</v>
      </c>
      <c r="AK3" s="3"/>
      <c r="AL3" s="3"/>
      <c r="AM3" s="3"/>
      <c r="AN3" s="3"/>
    </row>
    <row r="4" spans="2:40" x14ac:dyDescent="0.25">
      <c r="H4" s="3"/>
      <c r="I4" s="3"/>
      <c r="J4" s="3"/>
      <c r="L4" s="3"/>
      <c r="M4" s="3"/>
      <c r="N4" s="3"/>
      <c r="O4" s="3"/>
      <c r="P4" s="3"/>
      <c r="Q4" s="3"/>
      <c r="R4" s="3"/>
      <c r="S4" s="3"/>
      <c r="U4" s="3"/>
      <c r="V4" s="3"/>
      <c r="W4" s="3"/>
      <c r="X4" s="3"/>
      <c r="Y4" s="3"/>
      <c r="Z4" s="3"/>
      <c r="AA4" s="3"/>
      <c r="AB4" s="3"/>
      <c r="AG4" s="3"/>
      <c r="AH4" s="3"/>
      <c r="AI4" s="3"/>
      <c r="AJ4" s="3"/>
      <c r="AK4" s="3"/>
      <c r="AL4" s="3"/>
      <c r="AM4" s="3"/>
      <c r="AN4" s="3"/>
    </row>
    <row r="5" spans="2:40" ht="15" customHeight="1" x14ac:dyDescent="0.25">
      <c r="B5" s="23" t="s">
        <v>4</v>
      </c>
      <c r="C5" s="24"/>
      <c r="D5" s="7"/>
      <c r="E5" s="25" t="s">
        <v>38</v>
      </c>
      <c r="F5" s="26"/>
      <c r="G5" s="7"/>
      <c r="H5" s="25" t="s">
        <v>22</v>
      </c>
      <c r="I5" s="29"/>
      <c r="J5" s="26"/>
      <c r="K5" s="7"/>
      <c r="L5" s="23" t="s">
        <v>23</v>
      </c>
      <c r="M5" s="24"/>
      <c r="N5" s="24"/>
      <c r="O5" s="24"/>
      <c r="P5" s="24"/>
      <c r="Q5" s="24"/>
      <c r="R5" s="24"/>
      <c r="S5" s="24"/>
      <c r="T5" s="7"/>
      <c r="U5" s="23" t="s">
        <v>5</v>
      </c>
      <c r="V5" s="24"/>
      <c r="W5" s="24"/>
      <c r="X5" s="24"/>
      <c r="Y5" s="24"/>
      <c r="Z5" s="24"/>
      <c r="AA5" s="24"/>
      <c r="AB5" s="24"/>
      <c r="AC5" s="7"/>
      <c r="AD5" s="25" t="s">
        <v>6</v>
      </c>
      <c r="AE5" s="29"/>
      <c r="AF5" s="29"/>
      <c r="AG5" s="29"/>
      <c r="AH5" s="29"/>
      <c r="AI5" s="29"/>
      <c r="AJ5" s="29"/>
      <c r="AK5" s="29"/>
      <c r="AL5" s="29"/>
      <c r="AM5" s="29"/>
      <c r="AN5" s="26"/>
    </row>
    <row r="6" spans="2:40" x14ac:dyDescent="0.25">
      <c r="B6" s="24"/>
      <c r="C6" s="24"/>
      <c r="D6" s="8"/>
      <c r="E6" s="27"/>
      <c r="F6" s="28"/>
      <c r="G6" s="8"/>
      <c r="H6" s="27"/>
      <c r="I6" s="30"/>
      <c r="J6" s="28"/>
      <c r="K6" s="8"/>
      <c r="L6" s="24"/>
      <c r="M6" s="24"/>
      <c r="N6" s="24"/>
      <c r="O6" s="24"/>
      <c r="P6" s="24"/>
      <c r="Q6" s="24"/>
      <c r="R6" s="24"/>
      <c r="S6" s="24"/>
      <c r="T6" s="8"/>
      <c r="U6" s="24"/>
      <c r="V6" s="24"/>
      <c r="W6" s="24"/>
      <c r="X6" s="24"/>
      <c r="Y6" s="24"/>
      <c r="Z6" s="24"/>
      <c r="AA6" s="24"/>
      <c r="AB6" s="24"/>
      <c r="AC6" s="8"/>
      <c r="AD6" s="27"/>
      <c r="AE6" s="30"/>
      <c r="AF6" s="30"/>
      <c r="AG6" s="30"/>
      <c r="AH6" s="30"/>
      <c r="AI6" s="30"/>
      <c r="AJ6" s="30"/>
      <c r="AK6" s="30"/>
      <c r="AL6" s="30"/>
      <c r="AM6" s="30"/>
      <c r="AN6" s="28"/>
    </row>
    <row r="7" spans="2:40" ht="25.5" x14ac:dyDescent="0.25">
      <c r="B7" s="18" t="s">
        <v>8</v>
      </c>
      <c r="C7" s="18" t="s">
        <v>9</v>
      </c>
      <c r="D7" s="9"/>
      <c r="E7" s="15" t="s">
        <v>10</v>
      </c>
      <c r="F7" s="15" t="s">
        <v>29</v>
      </c>
      <c r="G7" s="9"/>
      <c r="H7" s="18" t="s">
        <v>19</v>
      </c>
      <c r="I7" s="11" t="s">
        <v>14</v>
      </c>
      <c r="J7" s="11" t="s">
        <v>15</v>
      </c>
      <c r="K7" s="9"/>
      <c r="L7" s="11" t="s">
        <v>11</v>
      </c>
      <c r="M7" s="11" t="s">
        <v>12</v>
      </c>
      <c r="N7" s="11" t="s">
        <v>13</v>
      </c>
      <c r="O7" s="18" t="s">
        <v>16</v>
      </c>
      <c r="P7" s="11" t="s">
        <v>17</v>
      </c>
      <c r="Q7" s="11" t="s">
        <v>13</v>
      </c>
      <c r="R7" s="11" t="s">
        <v>14</v>
      </c>
      <c r="S7" s="11" t="s">
        <v>15</v>
      </c>
      <c r="T7" s="9"/>
      <c r="U7" s="11" t="s">
        <v>11</v>
      </c>
      <c r="V7" s="11" t="s">
        <v>12</v>
      </c>
      <c r="W7" s="11" t="s">
        <v>13</v>
      </c>
      <c r="X7" s="18" t="s">
        <v>16</v>
      </c>
      <c r="Y7" s="11" t="s">
        <v>17</v>
      </c>
      <c r="Z7" s="11" t="s">
        <v>13</v>
      </c>
      <c r="AA7" s="11" t="s">
        <v>14</v>
      </c>
      <c r="AB7" s="11" t="s">
        <v>15</v>
      </c>
      <c r="AC7" s="9"/>
      <c r="AD7" s="11" t="s">
        <v>11</v>
      </c>
      <c r="AE7" s="11" t="s">
        <v>12</v>
      </c>
      <c r="AF7" s="11" t="s">
        <v>27</v>
      </c>
      <c r="AG7" s="11" t="s">
        <v>11</v>
      </c>
      <c r="AH7" s="11" t="s">
        <v>12</v>
      </c>
      <c r="AI7" s="11" t="s">
        <v>13</v>
      </c>
      <c r="AJ7" s="18" t="s">
        <v>16</v>
      </c>
      <c r="AK7" s="11" t="s">
        <v>17</v>
      </c>
      <c r="AL7" s="11" t="s">
        <v>13</v>
      </c>
      <c r="AM7" s="11" t="s">
        <v>14</v>
      </c>
      <c r="AN7" s="11" t="s">
        <v>15</v>
      </c>
    </row>
    <row r="8" spans="2:40" x14ac:dyDescent="0.25">
      <c r="B8" s="7">
        <f t="shared" ref="B8:B23" si="0">RANK(C8,C$8:C$23,0)</f>
        <v>1</v>
      </c>
      <c r="C8" s="7">
        <f t="shared" ref="C8:C23" si="1">SUMIF($H$1:$AN$1,1,$H8:$AN8)</f>
        <v>385</v>
      </c>
      <c r="D8" s="10"/>
      <c r="E8" s="16" t="s">
        <v>223</v>
      </c>
      <c r="F8" s="13" t="s">
        <v>98</v>
      </c>
      <c r="G8" s="10"/>
      <c r="H8" s="7">
        <v>115</v>
      </c>
      <c r="I8" s="7">
        <f t="shared" ref="I8:I23" si="2">RANK(H8,H$8:H$23,0)</f>
        <v>3</v>
      </c>
      <c r="J8" s="7">
        <f>VLOOKUP(I8,'Место-баллы'!$A$3:$E$52,2,0)</f>
        <v>90</v>
      </c>
      <c r="K8" s="10"/>
      <c r="L8" s="7">
        <v>7</v>
      </c>
      <c r="M8" s="7">
        <v>37</v>
      </c>
      <c r="N8" s="14">
        <f t="shared" ref="N8:N23" si="3">TIME(0,L8,M8)</f>
        <v>5.2893518518518515E-3</v>
      </c>
      <c r="O8" s="7">
        <v>1090</v>
      </c>
      <c r="P8" s="7">
        <f t="shared" ref="P8:P23" si="4">O$2-O8</f>
        <v>0</v>
      </c>
      <c r="Q8" s="14">
        <f t="shared" ref="Q8:Q23" si="5">N8+TIME(0,0,P8)</f>
        <v>5.2893518518518515E-3</v>
      </c>
      <c r="R8" s="7">
        <f t="shared" ref="R8:R23" si="6">RANK(Q8,Q$8:Q$23,1)</f>
        <v>1</v>
      </c>
      <c r="S8" s="7">
        <f>VLOOKUP(R8,'Место-баллы'!$A$3:$E$52,2,0)</f>
        <v>100</v>
      </c>
      <c r="T8" s="10"/>
      <c r="U8" s="7">
        <v>9</v>
      </c>
      <c r="V8" s="7">
        <v>8</v>
      </c>
      <c r="W8" s="14">
        <f t="shared" ref="W8:W23" si="7">TIME(0,U8,V8)</f>
        <v>6.3425925925925915E-3</v>
      </c>
      <c r="X8" s="7">
        <v>112</v>
      </c>
      <c r="Y8" s="7">
        <f t="shared" ref="Y8:Y23" si="8">X$2-X8</f>
        <v>0</v>
      </c>
      <c r="Z8" s="14">
        <f t="shared" ref="Z8:Z23" si="9">W8+TIME(0,0,Y8)</f>
        <v>6.3425925925925915E-3</v>
      </c>
      <c r="AA8" s="7">
        <f t="shared" ref="AA8:AA23" si="10">RANK(Z8,Z$8:Z$23,1)</f>
        <v>2</v>
      </c>
      <c r="AB8" s="7">
        <f>VLOOKUP(AA8,'Место-баллы'!$A$3:$E$52,2,0)</f>
        <v>95</v>
      </c>
      <c r="AC8" s="10"/>
      <c r="AD8" s="7">
        <v>1</v>
      </c>
      <c r="AE8" s="7">
        <v>48</v>
      </c>
      <c r="AF8" s="14">
        <f t="shared" ref="AF8:AF15" si="11">TIME(0,AD8,AE8)</f>
        <v>1.25E-3</v>
      </c>
      <c r="AG8" s="7">
        <v>4</v>
      </c>
      <c r="AH8" s="7">
        <v>51</v>
      </c>
      <c r="AI8" s="14">
        <f t="shared" ref="AI8:AI15" si="12">TIME(0,AG8,AH8)</f>
        <v>3.3680555555555551E-3</v>
      </c>
      <c r="AJ8" s="7">
        <v>170</v>
      </c>
      <c r="AK8" s="7">
        <f t="shared" ref="AK8:AK15" si="13">AJ$2-AJ8</f>
        <v>0</v>
      </c>
      <c r="AL8" s="14">
        <f t="shared" ref="AL8:AL15" si="14">AI8+TIME(0,0,AK8)</f>
        <v>3.3680555555555551E-3</v>
      </c>
      <c r="AM8" s="7">
        <f t="shared" ref="AM8:AM15" si="15">RANK(AL8,AL$8:AL$23,1)</f>
        <v>1</v>
      </c>
      <c r="AN8" s="7">
        <f>VLOOKUP(AM8,'Место-баллы'!$A$3:$E$52,2,0)</f>
        <v>100</v>
      </c>
    </row>
    <row r="9" spans="2:40" x14ac:dyDescent="0.25">
      <c r="B9" s="7">
        <f t="shared" si="0"/>
        <v>2</v>
      </c>
      <c r="C9" s="7">
        <f t="shared" si="1"/>
        <v>365</v>
      </c>
      <c r="D9" s="10"/>
      <c r="E9" s="16" t="s">
        <v>191</v>
      </c>
      <c r="F9" s="13" t="s">
        <v>98</v>
      </c>
      <c r="G9" s="10"/>
      <c r="H9" s="7">
        <v>105</v>
      </c>
      <c r="I9" s="7">
        <f t="shared" si="2"/>
        <v>6</v>
      </c>
      <c r="J9" s="7">
        <f>VLOOKUP(I9,'Место-баллы'!$A$3:$E$52,2,0)</f>
        <v>75</v>
      </c>
      <c r="K9" s="10"/>
      <c r="L9" s="7">
        <v>8</v>
      </c>
      <c r="M9" s="7">
        <v>5</v>
      </c>
      <c r="N9" s="14">
        <f t="shared" si="3"/>
        <v>5.6134259259259271E-3</v>
      </c>
      <c r="O9" s="7">
        <v>1090</v>
      </c>
      <c r="P9" s="7">
        <f t="shared" si="4"/>
        <v>0</v>
      </c>
      <c r="Q9" s="14">
        <f t="shared" si="5"/>
        <v>5.6134259259259271E-3</v>
      </c>
      <c r="R9" s="7">
        <f t="shared" si="6"/>
        <v>2</v>
      </c>
      <c r="S9" s="7">
        <f>VLOOKUP(R9,'Место-баллы'!$A$3:$E$52,2,0)</f>
        <v>95</v>
      </c>
      <c r="T9" s="10"/>
      <c r="U9" s="7">
        <v>8</v>
      </c>
      <c r="V9" s="7">
        <v>32</v>
      </c>
      <c r="W9" s="14">
        <f t="shared" si="7"/>
        <v>5.9259259259259256E-3</v>
      </c>
      <c r="X9" s="7">
        <v>112</v>
      </c>
      <c r="Y9" s="7">
        <f t="shared" si="8"/>
        <v>0</v>
      </c>
      <c r="Z9" s="14">
        <f t="shared" si="9"/>
        <v>5.9259259259259256E-3</v>
      </c>
      <c r="AA9" s="7">
        <f t="shared" si="10"/>
        <v>1</v>
      </c>
      <c r="AB9" s="7">
        <f>VLOOKUP(AA9,'Место-баллы'!$A$3:$E$52,2,0)</f>
        <v>100</v>
      </c>
      <c r="AC9" s="10"/>
      <c r="AD9" s="7">
        <v>1</v>
      </c>
      <c r="AE9" s="7">
        <v>48</v>
      </c>
      <c r="AF9" s="14">
        <f t="shared" si="11"/>
        <v>1.25E-3</v>
      </c>
      <c r="AG9" s="7">
        <v>5</v>
      </c>
      <c r="AH9" s="7">
        <v>3</v>
      </c>
      <c r="AI9" s="14">
        <f t="shared" si="12"/>
        <v>3.5069444444444445E-3</v>
      </c>
      <c r="AJ9" s="7">
        <v>170</v>
      </c>
      <c r="AK9" s="7">
        <f t="shared" si="13"/>
        <v>0</v>
      </c>
      <c r="AL9" s="14">
        <f t="shared" si="14"/>
        <v>3.5069444444444445E-3</v>
      </c>
      <c r="AM9" s="7">
        <f t="shared" si="15"/>
        <v>2</v>
      </c>
      <c r="AN9" s="7">
        <f>VLOOKUP(AM9,'Место-баллы'!$A$3:$E$52,2,0)</f>
        <v>95</v>
      </c>
    </row>
    <row r="10" spans="2:40" x14ac:dyDescent="0.25">
      <c r="B10" s="7">
        <f t="shared" si="0"/>
        <v>3</v>
      </c>
      <c r="C10" s="7">
        <f t="shared" si="1"/>
        <v>343</v>
      </c>
      <c r="D10" s="10"/>
      <c r="E10" s="16" t="s">
        <v>189</v>
      </c>
      <c r="F10" s="13"/>
      <c r="G10" s="10"/>
      <c r="H10" s="7">
        <v>118</v>
      </c>
      <c r="I10" s="7">
        <f t="shared" si="2"/>
        <v>2</v>
      </c>
      <c r="J10" s="7">
        <f>VLOOKUP(I10,'Место-баллы'!$A$3:$E$52,2,0)</f>
        <v>95</v>
      </c>
      <c r="K10" s="10"/>
      <c r="L10" s="7">
        <v>8</v>
      </c>
      <c r="M10" s="7">
        <v>5</v>
      </c>
      <c r="N10" s="14">
        <f t="shared" si="3"/>
        <v>5.6134259259259271E-3</v>
      </c>
      <c r="O10" s="7">
        <f>590+135</f>
        <v>725</v>
      </c>
      <c r="P10" s="7">
        <f t="shared" si="4"/>
        <v>365</v>
      </c>
      <c r="Q10" s="14">
        <f t="shared" si="5"/>
        <v>9.837962962962965E-3</v>
      </c>
      <c r="R10" s="7">
        <f t="shared" si="6"/>
        <v>4</v>
      </c>
      <c r="S10" s="7">
        <f>VLOOKUP(R10,'Место-баллы'!$A$3:$E$52,2,0)</f>
        <v>85</v>
      </c>
      <c r="T10" s="10"/>
      <c r="U10" s="7">
        <v>11</v>
      </c>
      <c r="V10" s="7">
        <v>31</v>
      </c>
      <c r="W10" s="14">
        <f t="shared" si="7"/>
        <v>7.9976851851851858E-3</v>
      </c>
      <c r="X10" s="7">
        <v>112</v>
      </c>
      <c r="Y10" s="7">
        <f t="shared" si="8"/>
        <v>0</v>
      </c>
      <c r="Z10" s="14">
        <f t="shared" si="9"/>
        <v>7.9976851851851858E-3</v>
      </c>
      <c r="AA10" s="7">
        <f t="shared" si="10"/>
        <v>7</v>
      </c>
      <c r="AB10" s="7">
        <f>VLOOKUP(AA10,'Место-баллы'!$A$3:$E$52,2,0)</f>
        <v>73</v>
      </c>
      <c r="AC10" s="10"/>
      <c r="AD10" s="7">
        <v>1</v>
      </c>
      <c r="AE10" s="7">
        <v>57</v>
      </c>
      <c r="AF10" s="14">
        <f t="shared" si="11"/>
        <v>1.3541666666666667E-3</v>
      </c>
      <c r="AG10" s="7">
        <v>5</v>
      </c>
      <c r="AH10" s="7">
        <v>5</v>
      </c>
      <c r="AI10" s="14">
        <f t="shared" si="12"/>
        <v>3.530092592592592E-3</v>
      </c>
      <c r="AJ10" s="7">
        <v>170</v>
      </c>
      <c r="AK10" s="7">
        <f t="shared" si="13"/>
        <v>0</v>
      </c>
      <c r="AL10" s="14">
        <f t="shared" si="14"/>
        <v>3.530092592592592E-3</v>
      </c>
      <c r="AM10" s="7">
        <f t="shared" si="15"/>
        <v>3</v>
      </c>
      <c r="AN10" s="7">
        <f>VLOOKUP(AM10,'Место-баллы'!$A$3:$E$52,2,0)</f>
        <v>90</v>
      </c>
    </row>
    <row r="11" spans="2:40" x14ac:dyDescent="0.25">
      <c r="B11" s="7">
        <f t="shared" si="0"/>
        <v>4</v>
      </c>
      <c r="C11" s="7">
        <f t="shared" si="1"/>
        <v>330</v>
      </c>
      <c r="D11" s="10"/>
      <c r="E11" s="16" t="s">
        <v>196</v>
      </c>
      <c r="F11" s="13"/>
      <c r="G11" s="10"/>
      <c r="H11" s="7">
        <v>110</v>
      </c>
      <c r="I11" s="7">
        <f t="shared" si="2"/>
        <v>4</v>
      </c>
      <c r="J11" s="7">
        <f>VLOOKUP(I11,'Место-баллы'!$A$3:$E$52,2,0)</f>
        <v>85</v>
      </c>
      <c r="K11" s="10"/>
      <c r="L11" s="7">
        <v>8</v>
      </c>
      <c r="M11" s="7">
        <v>5</v>
      </c>
      <c r="N11" s="14">
        <f t="shared" si="3"/>
        <v>5.6134259259259271E-3</v>
      </c>
      <c r="O11" s="7">
        <f>590+416</f>
        <v>1006</v>
      </c>
      <c r="P11" s="7">
        <f t="shared" si="4"/>
        <v>84</v>
      </c>
      <c r="Q11" s="14">
        <f t="shared" si="5"/>
        <v>6.5856481481481495E-3</v>
      </c>
      <c r="R11" s="7">
        <f t="shared" si="6"/>
        <v>3</v>
      </c>
      <c r="S11" s="7">
        <f>VLOOKUP(R11,'Место-баллы'!$A$3:$E$52,2,0)</f>
        <v>90</v>
      </c>
      <c r="T11" s="10"/>
      <c r="U11" s="7">
        <v>10</v>
      </c>
      <c r="V11" s="7">
        <v>27</v>
      </c>
      <c r="W11" s="14">
        <f t="shared" si="7"/>
        <v>7.2569444444444443E-3</v>
      </c>
      <c r="X11" s="7">
        <v>112</v>
      </c>
      <c r="Y11" s="7">
        <f t="shared" si="8"/>
        <v>0</v>
      </c>
      <c r="Z11" s="14">
        <f t="shared" si="9"/>
        <v>7.2569444444444443E-3</v>
      </c>
      <c r="AA11" s="7">
        <f t="shared" si="10"/>
        <v>5</v>
      </c>
      <c r="AB11" s="7">
        <f>VLOOKUP(AA11,'Место-баллы'!$A$3:$E$52,2,0)</f>
        <v>80</v>
      </c>
      <c r="AC11" s="10"/>
      <c r="AD11" s="7">
        <v>2</v>
      </c>
      <c r="AE11" s="7">
        <v>3</v>
      </c>
      <c r="AF11" s="14">
        <f t="shared" si="11"/>
        <v>1.423611111111111E-3</v>
      </c>
      <c r="AG11" s="7">
        <v>6</v>
      </c>
      <c r="AH11" s="7">
        <v>22</v>
      </c>
      <c r="AI11" s="14">
        <f t="shared" si="12"/>
        <v>4.4212962962962956E-3</v>
      </c>
      <c r="AJ11" s="7">
        <v>170</v>
      </c>
      <c r="AK11" s="7">
        <f t="shared" si="13"/>
        <v>0</v>
      </c>
      <c r="AL11" s="14">
        <f t="shared" si="14"/>
        <v>4.4212962962962956E-3</v>
      </c>
      <c r="AM11" s="7">
        <f t="shared" si="15"/>
        <v>6</v>
      </c>
      <c r="AN11" s="7">
        <f>VLOOKUP(AM11,'Место-баллы'!$A$3:$E$52,2,0)</f>
        <v>75</v>
      </c>
    </row>
    <row r="12" spans="2:40" x14ac:dyDescent="0.25">
      <c r="B12" s="7">
        <f t="shared" si="0"/>
        <v>5</v>
      </c>
      <c r="C12" s="7">
        <f t="shared" si="1"/>
        <v>305</v>
      </c>
      <c r="D12" s="10"/>
      <c r="E12" s="16" t="s">
        <v>190</v>
      </c>
      <c r="F12" s="13" t="s">
        <v>98</v>
      </c>
      <c r="G12" s="10"/>
      <c r="H12" s="7">
        <v>80</v>
      </c>
      <c r="I12" s="7">
        <f t="shared" si="2"/>
        <v>16</v>
      </c>
      <c r="J12" s="7">
        <f>VLOOKUP(I12,'Место-баллы'!$A$3:$E$52,2,0)</f>
        <v>55</v>
      </c>
      <c r="K12" s="10"/>
      <c r="L12" s="7">
        <v>8</v>
      </c>
      <c r="M12" s="7">
        <v>5</v>
      </c>
      <c r="N12" s="14">
        <f t="shared" si="3"/>
        <v>5.6134259259259271E-3</v>
      </c>
      <c r="O12" s="7">
        <v>592</v>
      </c>
      <c r="P12" s="7">
        <f t="shared" si="4"/>
        <v>498</v>
      </c>
      <c r="Q12" s="14">
        <f t="shared" si="5"/>
        <v>1.1377314814814816E-2</v>
      </c>
      <c r="R12" s="7">
        <f t="shared" si="6"/>
        <v>6</v>
      </c>
      <c r="S12" s="7">
        <f>VLOOKUP(R12,'Место-баллы'!$A$3:$E$52,2,0)</f>
        <v>75</v>
      </c>
      <c r="T12" s="10"/>
      <c r="U12" s="7">
        <v>9</v>
      </c>
      <c r="V12" s="7">
        <v>27</v>
      </c>
      <c r="W12" s="14">
        <f t="shared" si="7"/>
        <v>6.5624999999999998E-3</v>
      </c>
      <c r="X12" s="7">
        <v>112</v>
      </c>
      <c r="Y12" s="7">
        <f t="shared" si="8"/>
        <v>0</v>
      </c>
      <c r="Z12" s="14">
        <f t="shared" si="9"/>
        <v>6.5624999999999998E-3</v>
      </c>
      <c r="AA12" s="7">
        <f t="shared" si="10"/>
        <v>3</v>
      </c>
      <c r="AB12" s="7">
        <f>VLOOKUP(AA12,'Место-баллы'!$A$3:$E$52,2,0)</f>
        <v>90</v>
      </c>
      <c r="AC12" s="10"/>
      <c r="AD12" s="7">
        <v>1</v>
      </c>
      <c r="AE12" s="7">
        <v>55</v>
      </c>
      <c r="AF12" s="14">
        <f t="shared" si="11"/>
        <v>1.3310185185185185E-3</v>
      </c>
      <c r="AG12" s="7">
        <v>5</v>
      </c>
      <c r="AH12" s="7">
        <v>17</v>
      </c>
      <c r="AI12" s="14">
        <f t="shared" si="12"/>
        <v>3.6689814814814814E-3</v>
      </c>
      <c r="AJ12" s="7">
        <v>170</v>
      </c>
      <c r="AK12" s="7">
        <f t="shared" si="13"/>
        <v>0</v>
      </c>
      <c r="AL12" s="14">
        <f t="shared" si="14"/>
        <v>3.6689814814814814E-3</v>
      </c>
      <c r="AM12" s="7">
        <f t="shared" si="15"/>
        <v>4</v>
      </c>
      <c r="AN12" s="7">
        <f>VLOOKUP(AM12,'Место-баллы'!$A$3:$E$52,2,0)</f>
        <v>85</v>
      </c>
    </row>
    <row r="13" spans="2:40" x14ac:dyDescent="0.25">
      <c r="B13" s="7">
        <f t="shared" si="0"/>
        <v>6</v>
      </c>
      <c r="C13" s="7">
        <f t="shared" si="1"/>
        <v>302</v>
      </c>
      <c r="D13" s="10"/>
      <c r="E13" s="16" t="s">
        <v>187</v>
      </c>
      <c r="F13" s="13"/>
      <c r="G13" s="10"/>
      <c r="H13" s="7">
        <v>120</v>
      </c>
      <c r="I13" s="7">
        <f t="shared" si="2"/>
        <v>1</v>
      </c>
      <c r="J13" s="7">
        <f>VLOOKUP(I13,'Место-баллы'!$A$3:$E$52,2,0)</f>
        <v>100</v>
      </c>
      <c r="K13" s="10"/>
      <c r="L13" s="7">
        <v>8</v>
      </c>
      <c r="M13" s="7">
        <v>5</v>
      </c>
      <c r="N13" s="14">
        <f t="shared" si="3"/>
        <v>5.6134259259259271E-3</v>
      </c>
      <c r="O13" s="7">
        <v>574</v>
      </c>
      <c r="P13" s="7">
        <f t="shared" si="4"/>
        <v>516</v>
      </c>
      <c r="Q13" s="14">
        <f t="shared" si="5"/>
        <v>1.158564814814815E-2</v>
      </c>
      <c r="R13" s="7">
        <f t="shared" si="6"/>
        <v>10</v>
      </c>
      <c r="S13" s="7">
        <f>VLOOKUP(R13,'Место-баллы'!$A$3:$E$52,2,0)</f>
        <v>67</v>
      </c>
      <c r="T13" s="10"/>
      <c r="U13" s="7">
        <v>12</v>
      </c>
      <c r="V13" s="7">
        <v>5</v>
      </c>
      <c r="W13" s="14">
        <f t="shared" si="7"/>
        <v>8.3912037037037045E-3</v>
      </c>
      <c r="X13" s="7">
        <v>70</v>
      </c>
      <c r="Y13" s="7">
        <f t="shared" si="8"/>
        <v>42</v>
      </c>
      <c r="Z13" s="14">
        <f t="shared" si="9"/>
        <v>8.8773148148148153E-3</v>
      </c>
      <c r="AA13" s="7">
        <f t="shared" si="10"/>
        <v>16</v>
      </c>
      <c r="AB13" s="7">
        <f>VLOOKUP(AA13,'Место-баллы'!$A$3:$E$52,2,0)</f>
        <v>55</v>
      </c>
      <c r="AC13" s="10"/>
      <c r="AD13" s="7">
        <v>2</v>
      </c>
      <c r="AE13" s="7">
        <v>10</v>
      </c>
      <c r="AF13" s="14">
        <f t="shared" si="11"/>
        <v>1.5046296296296294E-3</v>
      </c>
      <c r="AG13" s="7">
        <v>5</v>
      </c>
      <c r="AH13" s="7">
        <v>44</v>
      </c>
      <c r="AI13" s="14">
        <f t="shared" si="12"/>
        <v>3.9814814814814817E-3</v>
      </c>
      <c r="AJ13" s="7">
        <v>170</v>
      </c>
      <c r="AK13" s="7">
        <f t="shared" si="13"/>
        <v>0</v>
      </c>
      <c r="AL13" s="14">
        <f t="shared" si="14"/>
        <v>3.9814814814814817E-3</v>
      </c>
      <c r="AM13" s="7">
        <f t="shared" si="15"/>
        <v>5</v>
      </c>
      <c r="AN13" s="7">
        <f>VLOOKUP(AM13,'Место-баллы'!$A$3:$E$52,2,0)</f>
        <v>80</v>
      </c>
    </row>
    <row r="14" spans="2:40" x14ac:dyDescent="0.25">
      <c r="B14" s="7">
        <f t="shared" si="0"/>
        <v>7</v>
      </c>
      <c r="C14" s="7">
        <f t="shared" si="1"/>
        <v>296</v>
      </c>
      <c r="D14" s="10"/>
      <c r="E14" s="16" t="s">
        <v>192</v>
      </c>
      <c r="F14" s="13"/>
      <c r="G14" s="10"/>
      <c r="H14" s="7">
        <v>110</v>
      </c>
      <c r="I14" s="7">
        <f t="shared" si="2"/>
        <v>4</v>
      </c>
      <c r="J14" s="7">
        <f>VLOOKUP(I14,'Место-баллы'!$A$3:$E$52,2,0)</f>
        <v>85</v>
      </c>
      <c r="K14" s="10"/>
      <c r="L14" s="7">
        <v>8</v>
      </c>
      <c r="M14" s="7">
        <v>5</v>
      </c>
      <c r="N14" s="14">
        <f t="shared" si="3"/>
        <v>5.6134259259259271E-3</v>
      </c>
      <c r="O14" s="7">
        <v>581</v>
      </c>
      <c r="P14" s="7">
        <f t="shared" si="4"/>
        <v>509</v>
      </c>
      <c r="Q14" s="14">
        <f t="shared" si="5"/>
        <v>1.150462962962963E-2</v>
      </c>
      <c r="R14" s="7">
        <f t="shared" si="6"/>
        <v>8</v>
      </c>
      <c r="S14" s="7">
        <f>VLOOKUP(R14,'Место-баллы'!$A$3:$E$52,2,0)</f>
        <v>71</v>
      </c>
      <c r="T14" s="10"/>
      <c r="U14" s="7">
        <v>12</v>
      </c>
      <c r="V14" s="7">
        <v>5</v>
      </c>
      <c r="W14" s="14">
        <f t="shared" si="7"/>
        <v>8.3912037037037045E-3</v>
      </c>
      <c r="X14" s="7">
        <f>98+1+5+2</f>
        <v>106</v>
      </c>
      <c r="Y14" s="7">
        <f t="shared" si="8"/>
        <v>6</v>
      </c>
      <c r="Z14" s="14">
        <f t="shared" si="9"/>
        <v>8.4606481481481494E-3</v>
      </c>
      <c r="AA14" s="7">
        <f t="shared" si="10"/>
        <v>10</v>
      </c>
      <c r="AB14" s="7">
        <f>VLOOKUP(AA14,'Место-баллы'!$A$3:$E$52,2,0)</f>
        <v>67</v>
      </c>
      <c r="AC14" s="10"/>
      <c r="AD14" s="7">
        <v>2</v>
      </c>
      <c r="AE14" s="7">
        <v>18</v>
      </c>
      <c r="AF14" s="14">
        <f t="shared" si="11"/>
        <v>1.5972222222222221E-3</v>
      </c>
      <c r="AG14" s="7">
        <v>6</v>
      </c>
      <c r="AH14" s="7">
        <v>25</v>
      </c>
      <c r="AI14" s="14">
        <f t="shared" si="12"/>
        <v>4.4560185185185189E-3</v>
      </c>
      <c r="AJ14" s="7">
        <v>170</v>
      </c>
      <c r="AK14" s="7">
        <f t="shared" si="13"/>
        <v>0</v>
      </c>
      <c r="AL14" s="14">
        <f t="shared" si="14"/>
        <v>4.4560185185185189E-3</v>
      </c>
      <c r="AM14" s="7">
        <f t="shared" si="15"/>
        <v>7</v>
      </c>
      <c r="AN14" s="7">
        <f>VLOOKUP(AM14,'Место-баллы'!$A$3:$E$52,2,0)</f>
        <v>73</v>
      </c>
    </row>
    <row r="15" spans="2:40" x14ac:dyDescent="0.25">
      <c r="B15" s="7">
        <f t="shared" si="0"/>
        <v>8</v>
      </c>
      <c r="C15" s="7">
        <f t="shared" si="1"/>
        <v>293</v>
      </c>
      <c r="D15" s="10"/>
      <c r="E15" s="16" t="s">
        <v>188</v>
      </c>
      <c r="F15" s="13"/>
      <c r="G15" s="10"/>
      <c r="H15" s="7">
        <v>102</v>
      </c>
      <c r="I15" s="7">
        <f t="shared" si="2"/>
        <v>8</v>
      </c>
      <c r="J15" s="7">
        <f>VLOOKUP(I15,'Место-баллы'!$A$3:$E$52,2,0)</f>
        <v>71</v>
      </c>
      <c r="K15" s="10"/>
      <c r="L15" s="7">
        <v>8</v>
      </c>
      <c r="M15" s="7">
        <v>5</v>
      </c>
      <c r="N15" s="14">
        <f t="shared" si="3"/>
        <v>5.6134259259259271E-3</v>
      </c>
      <c r="O15" s="7">
        <f>590+17</f>
        <v>607</v>
      </c>
      <c r="P15" s="7">
        <f t="shared" si="4"/>
        <v>483</v>
      </c>
      <c r="Q15" s="14">
        <f t="shared" si="5"/>
        <v>1.1203703703703705E-2</v>
      </c>
      <c r="R15" s="7">
        <f t="shared" si="6"/>
        <v>5</v>
      </c>
      <c r="S15" s="7">
        <f>VLOOKUP(R15,'Место-баллы'!$A$3:$E$52,2,0)</f>
        <v>80</v>
      </c>
      <c r="T15" s="10"/>
      <c r="U15" s="7">
        <v>11</v>
      </c>
      <c r="V15" s="7">
        <v>59</v>
      </c>
      <c r="W15" s="14">
        <f t="shared" si="7"/>
        <v>8.3217592592592596E-3</v>
      </c>
      <c r="X15" s="7">
        <v>112</v>
      </c>
      <c r="Y15" s="7">
        <f t="shared" si="8"/>
        <v>0</v>
      </c>
      <c r="Z15" s="14">
        <f t="shared" si="9"/>
        <v>8.3217592592592596E-3</v>
      </c>
      <c r="AA15" s="7">
        <f t="shared" si="10"/>
        <v>8</v>
      </c>
      <c r="AB15" s="7">
        <f>VLOOKUP(AA15,'Место-баллы'!$A$3:$E$52,2,0)</f>
        <v>71</v>
      </c>
      <c r="AC15" s="10"/>
      <c r="AD15" s="7">
        <v>2</v>
      </c>
      <c r="AE15" s="7">
        <v>12</v>
      </c>
      <c r="AF15" s="14">
        <f t="shared" si="11"/>
        <v>1.5277777777777779E-3</v>
      </c>
      <c r="AG15" s="7">
        <v>7</v>
      </c>
      <c r="AH15" s="7">
        <v>5</v>
      </c>
      <c r="AI15" s="14">
        <f t="shared" si="12"/>
        <v>4.9189814814814816E-3</v>
      </c>
      <c r="AJ15" s="7">
        <v>163</v>
      </c>
      <c r="AK15" s="7">
        <f t="shared" si="13"/>
        <v>7</v>
      </c>
      <c r="AL15" s="14">
        <f t="shared" si="14"/>
        <v>5.0000000000000001E-3</v>
      </c>
      <c r="AM15" s="7">
        <f t="shared" si="15"/>
        <v>8</v>
      </c>
      <c r="AN15" s="7">
        <f>VLOOKUP(AM15,'Место-баллы'!$A$3:$E$52,2,0)</f>
        <v>71</v>
      </c>
    </row>
    <row r="16" spans="2:40" x14ac:dyDescent="0.25">
      <c r="B16" s="7">
        <f t="shared" si="0"/>
        <v>9</v>
      </c>
      <c r="C16" s="7">
        <f t="shared" si="1"/>
        <v>221</v>
      </c>
      <c r="D16" s="10"/>
      <c r="E16" s="16" t="s">
        <v>186</v>
      </c>
      <c r="F16" s="13" t="s">
        <v>216</v>
      </c>
      <c r="G16" s="10"/>
      <c r="H16" s="7">
        <v>91</v>
      </c>
      <c r="I16" s="7">
        <f t="shared" si="2"/>
        <v>12</v>
      </c>
      <c r="J16" s="7">
        <f>VLOOKUP(I16,'Место-баллы'!$A$3:$E$52,2,0)</f>
        <v>63</v>
      </c>
      <c r="K16" s="10"/>
      <c r="L16" s="7">
        <v>8</v>
      </c>
      <c r="M16" s="7">
        <v>5</v>
      </c>
      <c r="N16" s="14">
        <f t="shared" si="3"/>
        <v>5.6134259259259271E-3</v>
      </c>
      <c r="O16" s="7">
        <v>588</v>
      </c>
      <c r="P16" s="7">
        <f t="shared" si="4"/>
        <v>502</v>
      </c>
      <c r="Q16" s="14">
        <f t="shared" si="5"/>
        <v>1.1423611111111114E-2</v>
      </c>
      <c r="R16" s="7">
        <f t="shared" si="6"/>
        <v>7</v>
      </c>
      <c r="S16" s="7">
        <f>VLOOKUP(R16,'Место-баллы'!$A$3:$E$52,2,0)</f>
        <v>73</v>
      </c>
      <c r="T16" s="10"/>
      <c r="U16" s="7">
        <v>10</v>
      </c>
      <c r="V16" s="7">
        <v>14</v>
      </c>
      <c r="W16" s="14">
        <f t="shared" si="7"/>
        <v>7.106481481481481E-3</v>
      </c>
      <c r="X16" s="7">
        <v>112</v>
      </c>
      <c r="Y16" s="7">
        <f t="shared" si="8"/>
        <v>0</v>
      </c>
      <c r="Z16" s="14">
        <f t="shared" si="9"/>
        <v>7.106481481481481E-3</v>
      </c>
      <c r="AA16" s="7">
        <f t="shared" si="10"/>
        <v>4</v>
      </c>
      <c r="AB16" s="7">
        <f>VLOOKUP(AA16,'Место-баллы'!$A$3:$E$52,2,0)</f>
        <v>85</v>
      </c>
      <c r="AC16" s="10"/>
      <c r="AD16" s="7"/>
      <c r="AE16" s="7"/>
      <c r="AF16" s="14"/>
      <c r="AG16" s="7"/>
      <c r="AH16" s="7"/>
      <c r="AI16" s="14"/>
      <c r="AJ16" s="7"/>
      <c r="AK16" s="7"/>
      <c r="AL16" s="14"/>
      <c r="AM16" s="7"/>
      <c r="AN16" s="7">
        <v>0</v>
      </c>
    </row>
    <row r="17" spans="2:40" x14ac:dyDescent="0.25">
      <c r="B17" s="7">
        <f t="shared" si="0"/>
        <v>10</v>
      </c>
      <c r="C17" s="7">
        <f t="shared" si="1"/>
        <v>201</v>
      </c>
      <c r="D17" s="10"/>
      <c r="E17" s="16" t="s">
        <v>184</v>
      </c>
      <c r="F17" s="13" t="s">
        <v>98</v>
      </c>
      <c r="G17" s="10"/>
      <c r="H17" s="7">
        <v>86</v>
      </c>
      <c r="I17" s="7">
        <f t="shared" si="2"/>
        <v>15</v>
      </c>
      <c r="J17" s="7">
        <f>VLOOKUP(I17,'Место-баллы'!$A$3:$E$52,2,0)</f>
        <v>57</v>
      </c>
      <c r="K17" s="10"/>
      <c r="L17" s="7">
        <v>8</v>
      </c>
      <c r="M17" s="7">
        <v>5</v>
      </c>
      <c r="N17" s="14">
        <f t="shared" si="3"/>
        <v>5.6134259259259271E-3</v>
      </c>
      <c r="O17" s="7">
        <f>572+5</f>
        <v>577</v>
      </c>
      <c r="P17" s="7">
        <f t="shared" si="4"/>
        <v>513</v>
      </c>
      <c r="Q17" s="14">
        <f t="shared" si="5"/>
        <v>1.1550925925925928E-2</v>
      </c>
      <c r="R17" s="7">
        <f t="shared" si="6"/>
        <v>9</v>
      </c>
      <c r="S17" s="7">
        <f>VLOOKUP(R17,'Место-баллы'!$A$3:$E$52,2,0)</f>
        <v>69</v>
      </c>
      <c r="T17" s="10"/>
      <c r="U17" s="7">
        <v>10</v>
      </c>
      <c r="V17" s="7">
        <v>59</v>
      </c>
      <c r="W17" s="14">
        <f t="shared" si="7"/>
        <v>7.6273148148148151E-3</v>
      </c>
      <c r="X17" s="7">
        <v>112</v>
      </c>
      <c r="Y17" s="7">
        <f t="shared" si="8"/>
        <v>0</v>
      </c>
      <c r="Z17" s="14">
        <f t="shared" si="9"/>
        <v>7.6273148148148151E-3</v>
      </c>
      <c r="AA17" s="7">
        <f t="shared" si="10"/>
        <v>6</v>
      </c>
      <c r="AB17" s="7">
        <f>VLOOKUP(AA17,'Место-баллы'!$A$3:$E$52,2,0)</f>
        <v>75</v>
      </c>
      <c r="AC17" s="10"/>
      <c r="AD17" s="7"/>
      <c r="AE17" s="7"/>
      <c r="AF17" s="14"/>
      <c r="AG17" s="7"/>
      <c r="AH17" s="7"/>
      <c r="AI17" s="14"/>
      <c r="AJ17" s="7"/>
      <c r="AK17" s="7"/>
      <c r="AL17" s="14"/>
      <c r="AM17" s="7"/>
      <c r="AN17" s="7">
        <v>0</v>
      </c>
    </row>
    <row r="18" spans="2:40" x14ac:dyDescent="0.25">
      <c r="B18" s="7">
        <f t="shared" si="0"/>
        <v>11</v>
      </c>
      <c r="C18" s="7">
        <f t="shared" si="1"/>
        <v>195</v>
      </c>
      <c r="D18" s="10"/>
      <c r="E18" s="16" t="s">
        <v>210</v>
      </c>
      <c r="F18" s="13"/>
      <c r="G18" s="10"/>
      <c r="H18" s="7">
        <v>100</v>
      </c>
      <c r="I18" s="7">
        <f t="shared" si="2"/>
        <v>9</v>
      </c>
      <c r="J18" s="7">
        <f>VLOOKUP(I18,'Место-баллы'!$A$3:$E$52,2,0)</f>
        <v>69</v>
      </c>
      <c r="K18" s="10"/>
      <c r="L18" s="7">
        <v>8</v>
      </c>
      <c r="M18" s="7">
        <v>5</v>
      </c>
      <c r="N18" s="14">
        <f t="shared" si="3"/>
        <v>5.6134259259259271E-3</v>
      </c>
      <c r="O18" s="7">
        <f>557+12</f>
        <v>569</v>
      </c>
      <c r="P18" s="7">
        <f t="shared" si="4"/>
        <v>521</v>
      </c>
      <c r="Q18" s="14">
        <f t="shared" si="5"/>
        <v>1.164351851851852E-2</v>
      </c>
      <c r="R18" s="7">
        <f t="shared" si="6"/>
        <v>12</v>
      </c>
      <c r="S18" s="7">
        <f>VLOOKUP(R18,'Место-баллы'!$A$3:$E$52,2,0)</f>
        <v>63</v>
      </c>
      <c r="T18" s="10"/>
      <c r="U18" s="7">
        <v>12</v>
      </c>
      <c r="V18" s="7">
        <v>5</v>
      </c>
      <c r="W18" s="14">
        <f t="shared" si="7"/>
        <v>8.3912037037037045E-3</v>
      </c>
      <c r="X18" s="7">
        <v>98</v>
      </c>
      <c r="Y18" s="7">
        <f t="shared" si="8"/>
        <v>14</v>
      </c>
      <c r="Z18" s="14">
        <f t="shared" si="9"/>
        <v>8.5532407407407415E-3</v>
      </c>
      <c r="AA18" s="7">
        <f t="shared" si="10"/>
        <v>12</v>
      </c>
      <c r="AB18" s="7">
        <f>VLOOKUP(AA18,'Место-баллы'!$A$3:$E$52,2,0)</f>
        <v>63</v>
      </c>
      <c r="AC18" s="10"/>
      <c r="AD18" s="7"/>
      <c r="AE18" s="7"/>
      <c r="AF18" s="14"/>
      <c r="AG18" s="7"/>
      <c r="AH18" s="7"/>
      <c r="AI18" s="14"/>
      <c r="AJ18" s="7"/>
      <c r="AK18" s="7"/>
      <c r="AL18" s="14"/>
      <c r="AM18" s="7"/>
      <c r="AN18" s="7">
        <v>0</v>
      </c>
    </row>
    <row r="19" spans="2:40" x14ac:dyDescent="0.25">
      <c r="B19" s="7">
        <f t="shared" si="0"/>
        <v>12</v>
      </c>
      <c r="C19" s="7">
        <f t="shared" si="1"/>
        <v>193</v>
      </c>
      <c r="D19" s="10"/>
      <c r="E19" s="16" t="s">
        <v>183</v>
      </c>
      <c r="F19" s="13"/>
      <c r="G19" s="10"/>
      <c r="H19" s="7">
        <v>105</v>
      </c>
      <c r="I19" s="7">
        <f t="shared" si="2"/>
        <v>6</v>
      </c>
      <c r="J19" s="7">
        <f>VLOOKUP(I19,'Место-баллы'!$A$3:$E$52,2,0)</f>
        <v>75</v>
      </c>
      <c r="K19" s="10"/>
      <c r="L19" s="7">
        <v>8</v>
      </c>
      <c r="M19" s="7">
        <v>5</v>
      </c>
      <c r="N19" s="14">
        <f t="shared" si="3"/>
        <v>5.6134259259259271E-3</v>
      </c>
      <c r="O19" s="7">
        <v>550</v>
      </c>
      <c r="P19" s="7">
        <f t="shared" si="4"/>
        <v>540</v>
      </c>
      <c r="Q19" s="14">
        <f t="shared" si="5"/>
        <v>1.1863425925925927E-2</v>
      </c>
      <c r="R19" s="7">
        <f t="shared" si="6"/>
        <v>15</v>
      </c>
      <c r="S19" s="7">
        <f>VLOOKUP(R19,'Место-баллы'!$A$3:$E$52,2,0)</f>
        <v>57</v>
      </c>
      <c r="T19" s="10"/>
      <c r="U19" s="7">
        <v>12</v>
      </c>
      <c r="V19" s="7">
        <v>5</v>
      </c>
      <c r="W19" s="14">
        <f t="shared" si="7"/>
        <v>8.3912037037037045E-3</v>
      </c>
      <c r="X19" s="7">
        <v>91</v>
      </c>
      <c r="Y19" s="7">
        <f t="shared" si="8"/>
        <v>21</v>
      </c>
      <c r="Z19" s="14">
        <f t="shared" si="9"/>
        <v>8.6342592592592599E-3</v>
      </c>
      <c r="AA19" s="7">
        <f t="shared" si="10"/>
        <v>13</v>
      </c>
      <c r="AB19" s="7">
        <f>VLOOKUP(AA19,'Место-баллы'!$A$3:$E$52,2,0)</f>
        <v>61</v>
      </c>
      <c r="AC19" s="10"/>
      <c r="AD19" s="7"/>
      <c r="AE19" s="7"/>
      <c r="AF19" s="14"/>
      <c r="AG19" s="7"/>
      <c r="AH19" s="7"/>
      <c r="AI19" s="14"/>
      <c r="AJ19" s="7"/>
      <c r="AK19" s="7"/>
      <c r="AL19" s="14"/>
      <c r="AM19" s="7"/>
      <c r="AN19" s="7">
        <v>0</v>
      </c>
    </row>
    <row r="20" spans="2:40" x14ac:dyDescent="0.25">
      <c r="B20" s="7">
        <f t="shared" si="0"/>
        <v>13</v>
      </c>
      <c r="C20" s="7">
        <f t="shared" si="1"/>
        <v>191</v>
      </c>
      <c r="D20" s="10"/>
      <c r="E20" s="16" t="s">
        <v>182</v>
      </c>
      <c r="F20" s="13"/>
      <c r="G20" s="10"/>
      <c r="H20" s="7">
        <v>90</v>
      </c>
      <c r="I20" s="7">
        <f t="shared" si="2"/>
        <v>13</v>
      </c>
      <c r="J20" s="7">
        <f>VLOOKUP(I20,'Место-баллы'!$A$3:$E$52,2,0)</f>
        <v>61</v>
      </c>
      <c r="K20" s="10"/>
      <c r="L20" s="7">
        <v>8</v>
      </c>
      <c r="M20" s="7">
        <v>5</v>
      </c>
      <c r="N20" s="14">
        <f t="shared" si="3"/>
        <v>5.6134259259259271E-3</v>
      </c>
      <c r="O20" s="7">
        <f>557+11</f>
        <v>568</v>
      </c>
      <c r="P20" s="7">
        <f t="shared" si="4"/>
        <v>522</v>
      </c>
      <c r="Q20" s="14">
        <f t="shared" si="5"/>
        <v>1.1655092592592594E-2</v>
      </c>
      <c r="R20" s="7">
        <f t="shared" si="6"/>
        <v>13</v>
      </c>
      <c r="S20" s="7">
        <f>VLOOKUP(R20,'Место-баллы'!$A$3:$E$52,2,0)</f>
        <v>61</v>
      </c>
      <c r="T20" s="10"/>
      <c r="U20" s="7">
        <v>12</v>
      </c>
      <c r="V20" s="7">
        <v>5</v>
      </c>
      <c r="W20" s="14">
        <f t="shared" si="7"/>
        <v>8.3912037037037045E-3</v>
      </c>
      <c r="X20" s="7">
        <f>98+1+5+4</f>
        <v>108</v>
      </c>
      <c r="Y20" s="7">
        <f t="shared" si="8"/>
        <v>4</v>
      </c>
      <c r="Z20" s="14">
        <f t="shared" si="9"/>
        <v>8.4375000000000006E-3</v>
      </c>
      <c r="AA20" s="7">
        <f t="shared" si="10"/>
        <v>9</v>
      </c>
      <c r="AB20" s="7">
        <f>VLOOKUP(AA20,'Место-баллы'!$A$3:$E$52,2,0)</f>
        <v>69</v>
      </c>
      <c r="AC20" s="10"/>
      <c r="AD20" s="7"/>
      <c r="AE20" s="7"/>
      <c r="AF20" s="14"/>
      <c r="AG20" s="7"/>
      <c r="AH20" s="7"/>
      <c r="AI20" s="14"/>
      <c r="AJ20" s="7"/>
      <c r="AK20" s="7"/>
      <c r="AL20" s="14"/>
      <c r="AM20" s="7"/>
      <c r="AN20" s="7">
        <v>0</v>
      </c>
    </row>
    <row r="21" spans="2:40" x14ac:dyDescent="0.25">
      <c r="B21" s="7">
        <f t="shared" si="0"/>
        <v>13</v>
      </c>
      <c r="C21" s="7">
        <f t="shared" si="1"/>
        <v>191</v>
      </c>
      <c r="D21" s="10"/>
      <c r="E21" s="16" t="s">
        <v>195</v>
      </c>
      <c r="F21" s="13"/>
      <c r="G21" s="10"/>
      <c r="H21" s="7">
        <v>90</v>
      </c>
      <c r="I21" s="7">
        <f t="shared" si="2"/>
        <v>13</v>
      </c>
      <c r="J21" s="7">
        <f>VLOOKUP(I21,'Место-баллы'!$A$3:$E$52,2,0)</f>
        <v>61</v>
      </c>
      <c r="K21" s="10"/>
      <c r="L21" s="7">
        <v>8</v>
      </c>
      <c r="M21" s="7">
        <v>5</v>
      </c>
      <c r="N21" s="14">
        <f t="shared" si="3"/>
        <v>5.6134259259259271E-3</v>
      </c>
      <c r="O21" s="7">
        <f>557+14</f>
        <v>571</v>
      </c>
      <c r="P21" s="7">
        <f t="shared" si="4"/>
        <v>519</v>
      </c>
      <c r="Q21" s="14">
        <f t="shared" si="5"/>
        <v>1.1620370370370371E-2</v>
      </c>
      <c r="R21" s="7">
        <f t="shared" si="6"/>
        <v>11</v>
      </c>
      <c r="S21" s="7">
        <f>VLOOKUP(R21,'Место-баллы'!$A$3:$E$52,2,0)</f>
        <v>65</v>
      </c>
      <c r="T21" s="10"/>
      <c r="U21" s="7">
        <v>12</v>
      </c>
      <c r="V21" s="7">
        <v>5</v>
      </c>
      <c r="W21" s="14">
        <f t="shared" si="7"/>
        <v>8.3912037037037045E-3</v>
      </c>
      <c r="X21" s="7">
        <v>100</v>
      </c>
      <c r="Y21" s="7">
        <f t="shared" si="8"/>
        <v>12</v>
      </c>
      <c r="Z21" s="14">
        <f t="shared" si="9"/>
        <v>8.5300925925925926E-3</v>
      </c>
      <c r="AA21" s="7">
        <f t="shared" si="10"/>
        <v>11</v>
      </c>
      <c r="AB21" s="7">
        <f>VLOOKUP(AA21,'Место-баллы'!$A$3:$E$52,2,0)</f>
        <v>65</v>
      </c>
      <c r="AC21" s="10"/>
      <c r="AD21" s="7"/>
      <c r="AE21" s="7"/>
      <c r="AF21" s="14"/>
      <c r="AG21" s="7"/>
      <c r="AH21" s="7"/>
      <c r="AI21" s="14"/>
      <c r="AJ21" s="7"/>
      <c r="AK21" s="7"/>
      <c r="AL21" s="14"/>
      <c r="AM21" s="7"/>
      <c r="AN21" s="7">
        <v>0</v>
      </c>
    </row>
    <row r="22" spans="2:40" x14ac:dyDescent="0.25">
      <c r="B22" s="7">
        <f t="shared" si="0"/>
        <v>15</v>
      </c>
      <c r="C22" s="7">
        <f t="shared" si="1"/>
        <v>183</v>
      </c>
      <c r="D22" s="10"/>
      <c r="E22" s="16" t="s">
        <v>194</v>
      </c>
      <c r="F22" s="13"/>
      <c r="G22" s="10"/>
      <c r="H22" s="7">
        <v>92</v>
      </c>
      <c r="I22" s="7">
        <f t="shared" si="2"/>
        <v>11</v>
      </c>
      <c r="J22" s="7">
        <f>VLOOKUP(I22,'Место-баллы'!$A$3:$E$52,2,0)</f>
        <v>65</v>
      </c>
      <c r="K22" s="10"/>
      <c r="L22" s="7">
        <v>8</v>
      </c>
      <c r="M22" s="7">
        <v>5</v>
      </c>
      <c r="N22" s="14">
        <f t="shared" si="3"/>
        <v>5.6134259259259271E-3</v>
      </c>
      <c r="O22" s="7">
        <v>557</v>
      </c>
      <c r="P22" s="7">
        <f t="shared" si="4"/>
        <v>533</v>
      </c>
      <c r="Q22" s="14">
        <f t="shared" si="5"/>
        <v>1.1782407407407408E-2</v>
      </c>
      <c r="R22" s="7">
        <f t="shared" si="6"/>
        <v>14</v>
      </c>
      <c r="S22" s="7">
        <f>VLOOKUP(R22,'Место-баллы'!$A$3:$E$52,2,0)</f>
        <v>59</v>
      </c>
      <c r="T22" s="10"/>
      <c r="U22" s="7">
        <v>12</v>
      </c>
      <c r="V22" s="7">
        <v>5</v>
      </c>
      <c r="W22" s="14">
        <f t="shared" si="7"/>
        <v>8.3912037037037045E-3</v>
      </c>
      <c r="X22" s="7">
        <v>84</v>
      </c>
      <c r="Y22" s="7">
        <f t="shared" si="8"/>
        <v>28</v>
      </c>
      <c r="Z22" s="14">
        <f t="shared" si="9"/>
        <v>8.7152777777777784E-3</v>
      </c>
      <c r="AA22" s="7">
        <f t="shared" si="10"/>
        <v>14</v>
      </c>
      <c r="AB22" s="7">
        <f>VLOOKUP(AA22,'Место-баллы'!$A$3:$E$52,2,0)</f>
        <v>59</v>
      </c>
      <c r="AC22" s="10"/>
      <c r="AD22" s="7"/>
      <c r="AE22" s="7"/>
      <c r="AF22" s="14"/>
      <c r="AG22" s="7"/>
      <c r="AH22" s="7"/>
      <c r="AI22" s="14"/>
      <c r="AJ22" s="7"/>
      <c r="AK22" s="7"/>
      <c r="AL22" s="14"/>
      <c r="AM22" s="7"/>
      <c r="AN22" s="7">
        <v>0</v>
      </c>
    </row>
    <row r="23" spans="2:40" x14ac:dyDescent="0.25">
      <c r="B23" s="7">
        <f t="shared" si="0"/>
        <v>16</v>
      </c>
      <c r="C23" s="7">
        <f t="shared" si="1"/>
        <v>181</v>
      </c>
      <c r="D23" s="10"/>
      <c r="E23" s="16" t="s">
        <v>193</v>
      </c>
      <c r="F23" s="13" t="s">
        <v>226</v>
      </c>
      <c r="G23" s="10"/>
      <c r="H23" s="7">
        <v>97</v>
      </c>
      <c r="I23" s="7">
        <f t="shared" si="2"/>
        <v>10</v>
      </c>
      <c r="J23" s="7">
        <f>VLOOKUP(I23,'Место-баллы'!$A$3:$E$52,2,0)</f>
        <v>67</v>
      </c>
      <c r="K23" s="10"/>
      <c r="L23" s="7">
        <v>8</v>
      </c>
      <c r="M23" s="7">
        <v>5</v>
      </c>
      <c r="N23" s="14">
        <f t="shared" si="3"/>
        <v>5.6134259259259271E-3</v>
      </c>
      <c r="O23" s="7">
        <v>550</v>
      </c>
      <c r="P23" s="7">
        <f t="shared" si="4"/>
        <v>540</v>
      </c>
      <c r="Q23" s="14">
        <f t="shared" si="5"/>
        <v>1.1863425925925927E-2</v>
      </c>
      <c r="R23" s="7">
        <f t="shared" si="6"/>
        <v>15</v>
      </c>
      <c r="S23" s="7">
        <f>VLOOKUP(R23,'Место-баллы'!$A$3:$E$52,2,0)</f>
        <v>57</v>
      </c>
      <c r="T23" s="10"/>
      <c r="U23" s="7">
        <v>12</v>
      </c>
      <c r="V23" s="7">
        <v>5</v>
      </c>
      <c r="W23" s="14">
        <f t="shared" si="7"/>
        <v>8.3912037037037045E-3</v>
      </c>
      <c r="X23" s="7">
        <v>81</v>
      </c>
      <c r="Y23" s="7">
        <f t="shared" si="8"/>
        <v>31</v>
      </c>
      <c r="Z23" s="14">
        <f t="shared" si="9"/>
        <v>8.7500000000000008E-3</v>
      </c>
      <c r="AA23" s="7">
        <f t="shared" si="10"/>
        <v>15</v>
      </c>
      <c r="AB23" s="7">
        <f>VLOOKUP(AA23,'Место-баллы'!$A$3:$E$52,2,0)</f>
        <v>57</v>
      </c>
      <c r="AC23" s="10"/>
      <c r="AD23" s="7"/>
      <c r="AE23" s="7"/>
      <c r="AF23" s="14"/>
      <c r="AG23" s="7"/>
      <c r="AH23" s="7"/>
      <c r="AI23" s="14"/>
      <c r="AJ23" s="7"/>
      <c r="AK23" s="7"/>
      <c r="AL23" s="14"/>
      <c r="AM23" s="7"/>
      <c r="AN23" s="7">
        <v>0</v>
      </c>
    </row>
    <row r="24" spans="2:40" ht="15.75" customHeight="1" x14ac:dyDescent="0.25"/>
    <row r="25" spans="2:40" ht="15.75" customHeight="1" x14ac:dyDescent="0.25"/>
    <row r="26" spans="2:40" ht="15.75" customHeight="1" x14ac:dyDescent="0.25"/>
    <row r="27" spans="2:40" ht="15.75" customHeight="1" x14ac:dyDescent="0.25"/>
    <row r="28" spans="2:40" ht="15.75" customHeight="1" x14ac:dyDescent="0.25"/>
    <row r="29" spans="2:40" ht="15.75" customHeight="1" x14ac:dyDescent="0.25"/>
    <row r="30" spans="2:40" ht="15.75" customHeight="1" x14ac:dyDescent="0.25"/>
    <row r="31" spans="2:40" ht="15.75" customHeight="1" x14ac:dyDescent="0.25"/>
    <row r="32" spans="2:4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</sheetData>
  <autoFilter ref="B7:AN7" xr:uid="{0E7898E2-7F64-4CBD-A8BD-BF170FA1F432}">
    <sortState xmlns:xlrd2="http://schemas.microsoft.com/office/spreadsheetml/2017/richdata2" ref="B8:AN23">
      <sortCondition ref="B7"/>
    </sortState>
  </autoFilter>
  <mergeCells count="6">
    <mergeCell ref="AD5:AN6"/>
    <mergeCell ref="B5:C6"/>
    <mergeCell ref="E5:F6"/>
    <mergeCell ref="H5:J6"/>
    <mergeCell ref="L5:S6"/>
    <mergeCell ref="U5:AB6"/>
  </mergeCells>
  <printOptions horizontalCentered="1" verticalCentered="1"/>
  <pageMargins left="0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Место-баллы</vt:lpstr>
      <vt:lpstr>Ж</vt:lpstr>
      <vt:lpstr>М</vt:lpstr>
      <vt:lpstr>35-39 Ж</vt:lpstr>
      <vt:lpstr>35-39 М</vt:lpstr>
      <vt:lpstr>40-44 Ж</vt:lpstr>
      <vt:lpstr>40-44 М</vt:lpstr>
      <vt:lpstr>45-49 Ж</vt:lpstr>
      <vt:lpstr>45-49 М</vt:lpstr>
      <vt:lpstr>50-54 Ж</vt:lpstr>
      <vt:lpstr>50-54 М</vt:lpstr>
      <vt:lpstr>55+ Ж</vt:lpstr>
      <vt:lpstr>55+ М</vt:lpstr>
      <vt:lpstr>ММ</vt:lpstr>
      <vt:lpstr>МЖ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Reseption</dc:creator>
  <cp:lastModifiedBy>hp</cp:lastModifiedBy>
  <cp:lastPrinted>2024-02-04T15:18:25Z</cp:lastPrinted>
  <dcterms:created xsi:type="dcterms:W3CDTF">2017-08-12T14:09:08Z</dcterms:created>
  <dcterms:modified xsi:type="dcterms:W3CDTF">2024-02-04T15:29:59Z</dcterms:modified>
</cp:coreProperties>
</file>