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hp\Desktop\Гера\2020\"/>
    </mc:Choice>
  </mc:AlternateContent>
  <xr:revisionPtr revIDLastSave="0" documentId="13_ncr:1_{DF69298E-6D74-48AD-92B8-D20F70925FDE}" xr6:coauthVersionLast="45" xr6:coauthVersionMax="45" xr10:uidLastSave="{00000000-0000-0000-0000-000000000000}"/>
  <bookViews>
    <workbookView xWindow="-120" yWindow="-120" windowWidth="20730" windowHeight="11280" tabRatio="874" activeTab="1" xr2:uid="{00000000-000D-0000-FFFF-FFFF00000000}"/>
  </bookViews>
  <sheets>
    <sheet name="Место-баллы" sheetId="1" r:id="rId1"/>
    <sheet name="14-15 Ж до 53 кг" sheetId="15" r:id="rId2"/>
    <sheet name="14-15 Ж 53+ кг" sheetId="29" r:id="rId3"/>
    <sheet name="16-17 Ж до 58 кг" sheetId="19" r:id="rId4"/>
    <sheet name="16-17 Ж 58+ кг" sheetId="35" r:id="rId5"/>
    <sheet name="14-15 М до 60 кг" sheetId="25" r:id="rId6"/>
    <sheet name="14-15 М 60+ кг" sheetId="30" r:id="rId7"/>
    <sheet name="16-17 М до 70 кг" sheetId="27" r:id="rId8"/>
    <sheet name="16-17 М 70+ кг" sheetId="28" r:id="rId9"/>
    <sheet name="18-20 М до 85 кг" sheetId="33" r:id="rId10"/>
    <sheet name="18-20 М 85+ кг" sheetId="34" r:id="rId11"/>
  </sheets>
  <definedNames>
    <definedName name="_xlnm._FilterDatabase" localSheetId="2" hidden="1">'14-15 Ж 53+ кг'!$B$19:$AE$19</definedName>
    <definedName name="_xlnm._FilterDatabase" localSheetId="1" hidden="1">'14-15 Ж до 53 кг'!$B$19:$AE$19</definedName>
    <definedName name="_xlnm._FilterDatabase" localSheetId="6" hidden="1">'14-15 М 60+ кг'!$B$19:$AE$19</definedName>
    <definedName name="_xlnm._FilterDatabase" localSheetId="5" hidden="1">'14-15 М до 60 кг'!$B$19:$AE$19</definedName>
    <definedName name="_xlnm._FilterDatabase" localSheetId="4" hidden="1">'16-17 Ж 58+ кг'!$B$19:$AL$19</definedName>
    <definedName name="_xlnm._FilterDatabase" localSheetId="3" hidden="1">'16-17 Ж до 58 кг'!$B$19:$AE$19</definedName>
    <definedName name="_xlnm._FilterDatabase" localSheetId="8" hidden="1">'16-17 М 70+ кг'!$B$19:$AE$19</definedName>
    <definedName name="_xlnm._FilterDatabase" localSheetId="7" hidden="1">'16-17 М до 70 кг'!$B$19:$AE$19</definedName>
    <definedName name="_xlnm._FilterDatabase" localSheetId="10" hidden="1">'18-20 М 85+ кг'!$B$19:$AQ$19</definedName>
    <definedName name="_xlnm._FilterDatabase" localSheetId="9" hidden="1">'18-20 М до 85 кг'!$B$19:$AJ$19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0" i="27" l="1"/>
  <c r="AC22" i="27"/>
  <c r="AC21" i="27"/>
  <c r="AC20" i="28"/>
  <c r="AC21" i="28"/>
  <c r="AC20" i="30"/>
  <c r="AC21" i="30"/>
  <c r="AC22" i="30"/>
  <c r="C21" i="35"/>
  <c r="B21" i="35"/>
  <c r="B20" i="35"/>
  <c r="AC21" i="35"/>
  <c r="N21" i="35"/>
  <c r="Y21" i="35"/>
  <c r="Z21" i="35" s="1"/>
  <c r="AA21" i="35" s="1"/>
  <c r="AD21" i="35"/>
  <c r="AE21" i="35" s="1"/>
  <c r="AD20" i="35"/>
  <c r="AE20" i="35" s="1"/>
  <c r="Z20" i="35"/>
  <c r="AA20" i="35" s="1"/>
  <c r="S21" i="35"/>
  <c r="T21" i="35" s="1"/>
  <c r="S20" i="35"/>
  <c r="T20" i="35" s="1"/>
  <c r="O21" i="35"/>
  <c r="P21" i="35" s="1"/>
  <c r="O20" i="35"/>
  <c r="P20" i="35" s="1"/>
  <c r="K20" i="35"/>
  <c r="K21" i="35"/>
  <c r="J21" i="35"/>
  <c r="L21" i="35"/>
  <c r="AC21" i="19"/>
  <c r="AC20" i="19"/>
  <c r="AC22" i="19"/>
  <c r="AC24" i="19"/>
  <c r="AD20" i="15" l="1"/>
  <c r="R20" i="34" l="1"/>
  <c r="N20" i="34" l="1"/>
  <c r="N21" i="33"/>
  <c r="N20" i="33"/>
  <c r="N22" i="33"/>
  <c r="N21" i="28"/>
  <c r="N20" i="28"/>
  <c r="AD20" i="28"/>
  <c r="AE20" i="28" s="1"/>
  <c r="AD21" i="28"/>
  <c r="AE21" i="28" s="1"/>
  <c r="AD26" i="27"/>
  <c r="AE26" i="27" s="1"/>
  <c r="AD22" i="27"/>
  <c r="AE22" i="27" s="1"/>
  <c r="AD23" i="27"/>
  <c r="AE23" i="27" s="1"/>
  <c r="AD25" i="27"/>
  <c r="AE25" i="27" s="1"/>
  <c r="AD24" i="27"/>
  <c r="AE24" i="27" s="1"/>
  <c r="AD21" i="27"/>
  <c r="AE21" i="27" s="1"/>
  <c r="AD20" i="27"/>
  <c r="AE20" i="27" s="1"/>
  <c r="AD21" i="30"/>
  <c r="AE21" i="30" s="1"/>
  <c r="AD22" i="30"/>
  <c r="AE22" i="30" s="1"/>
  <c r="AD23" i="30"/>
  <c r="AE23" i="30" s="1"/>
  <c r="AD20" i="30"/>
  <c r="AE20" i="30" s="1"/>
  <c r="AD21" i="25"/>
  <c r="AE21" i="25" s="1"/>
  <c r="AD22" i="25"/>
  <c r="AE22" i="25" s="1"/>
  <c r="AD20" i="25"/>
  <c r="AE20" i="25" s="1"/>
  <c r="AD23" i="19"/>
  <c r="AE23" i="19" s="1"/>
  <c r="AD24" i="19"/>
  <c r="AE24" i="19" s="1"/>
  <c r="AD22" i="19"/>
  <c r="AE22" i="19" s="1"/>
  <c r="AD21" i="19"/>
  <c r="AE21" i="19" s="1"/>
  <c r="AD20" i="19"/>
  <c r="AE20" i="19" s="1"/>
  <c r="AD21" i="29"/>
  <c r="AE21" i="29" s="1"/>
  <c r="AD20" i="29"/>
  <c r="AE20" i="29" s="1"/>
  <c r="AE20" i="15"/>
  <c r="AD22" i="15"/>
  <c r="AE22" i="15" s="1"/>
  <c r="AD21" i="15"/>
  <c r="AE21" i="15" s="1"/>
  <c r="N22" i="27"/>
  <c r="N20" i="27"/>
  <c r="N26" i="27"/>
  <c r="N21" i="27"/>
  <c r="N25" i="27"/>
  <c r="N23" i="27"/>
  <c r="N24" i="27"/>
  <c r="N20" i="25"/>
  <c r="N21" i="25"/>
  <c r="N22" i="25"/>
  <c r="N20" i="30"/>
  <c r="N23" i="30"/>
  <c r="N22" i="30"/>
  <c r="N21" i="30"/>
  <c r="N23" i="19"/>
  <c r="N24" i="19" l="1"/>
  <c r="N20" i="19"/>
  <c r="N21" i="19"/>
  <c r="N22" i="19"/>
  <c r="N20" i="35"/>
  <c r="N20" i="29"/>
  <c r="O21" i="29" s="1"/>
  <c r="P21" i="29" s="1"/>
  <c r="N20" i="15"/>
  <c r="N22" i="15"/>
  <c r="N21" i="29"/>
  <c r="N21" i="15"/>
  <c r="J21" i="29"/>
  <c r="S21" i="29"/>
  <c r="T21" i="29" s="1"/>
  <c r="Y21" i="29"/>
  <c r="J20" i="29"/>
  <c r="S20" i="29"/>
  <c r="T20" i="29" s="1"/>
  <c r="Y20" i="29"/>
  <c r="J22" i="30"/>
  <c r="O22" i="30"/>
  <c r="P22" i="30" s="1"/>
  <c r="S22" i="30"/>
  <c r="T22" i="30" s="1"/>
  <c r="Y22" i="30"/>
  <c r="J20" i="30"/>
  <c r="O20" i="30"/>
  <c r="P20" i="30" s="1"/>
  <c r="S20" i="30"/>
  <c r="T20" i="30" s="1"/>
  <c r="Y20" i="30"/>
  <c r="J23" i="30"/>
  <c r="O23" i="30"/>
  <c r="P23" i="30" s="1"/>
  <c r="S23" i="30"/>
  <c r="T23" i="30" s="1"/>
  <c r="Y23" i="30"/>
  <c r="J21" i="30"/>
  <c r="O21" i="30"/>
  <c r="P21" i="30" s="1"/>
  <c r="S21" i="30"/>
  <c r="T21" i="30" s="1"/>
  <c r="Y21" i="30"/>
  <c r="Y20" i="35"/>
  <c r="J20" i="35"/>
  <c r="O20" i="29" l="1"/>
  <c r="P20" i="29" s="1"/>
  <c r="L20" i="35"/>
  <c r="C20" i="35" s="1"/>
  <c r="J20" i="33"/>
  <c r="O20" i="33"/>
  <c r="P20" i="33" s="1"/>
  <c r="S20" i="33"/>
  <c r="T20" i="33" s="1"/>
  <c r="Y20" i="33"/>
  <c r="AE20" i="33"/>
  <c r="AG20" i="33"/>
  <c r="J21" i="33"/>
  <c r="O21" i="33"/>
  <c r="P21" i="33" s="1"/>
  <c r="S21" i="33"/>
  <c r="T21" i="33" s="1"/>
  <c r="Y21" i="33"/>
  <c r="AE21" i="33"/>
  <c r="AG21" i="33"/>
  <c r="J20" i="27"/>
  <c r="O20" i="27"/>
  <c r="P20" i="27" s="1"/>
  <c r="S20" i="27"/>
  <c r="T20" i="27" s="1"/>
  <c r="Y20" i="27"/>
  <c r="J21" i="27"/>
  <c r="O21" i="27"/>
  <c r="P21" i="27" s="1"/>
  <c r="S21" i="27"/>
  <c r="T21" i="27" s="1"/>
  <c r="Y21" i="27"/>
  <c r="J26" i="27"/>
  <c r="O26" i="27"/>
  <c r="P26" i="27" s="1"/>
  <c r="S26" i="27"/>
  <c r="T26" i="27" s="1"/>
  <c r="Y26" i="27"/>
  <c r="J25" i="27"/>
  <c r="O25" i="27"/>
  <c r="P25" i="27" s="1"/>
  <c r="S25" i="27"/>
  <c r="T25" i="27" s="1"/>
  <c r="Y25" i="27"/>
  <c r="J24" i="27"/>
  <c r="O24" i="27"/>
  <c r="P24" i="27" s="1"/>
  <c r="S24" i="27"/>
  <c r="T24" i="27" s="1"/>
  <c r="Y24" i="27"/>
  <c r="J23" i="27"/>
  <c r="O23" i="27"/>
  <c r="P23" i="27" s="1"/>
  <c r="S23" i="27"/>
  <c r="T23" i="27" s="1"/>
  <c r="Y23" i="27"/>
  <c r="J21" i="25"/>
  <c r="O21" i="25"/>
  <c r="P21" i="25" s="1"/>
  <c r="S21" i="25"/>
  <c r="T21" i="25" s="1"/>
  <c r="Y21" i="25"/>
  <c r="J22" i="25"/>
  <c r="O22" i="25"/>
  <c r="P22" i="25" s="1"/>
  <c r="S22" i="25"/>
  <c r="T22" i="25" s="1"/>
  <c r="Y22" i="25"/>
  <c r="J21" i="19"/>
  <c r="O21" i="19"/>
  <c r="P21" i="19" s="1"/>
  <c r="S21" i="19"/>
  <c r="T21" i="19" s="1"/>
  <c r="Y21" i="19"/>
  <c r="J22" i="19"/>
  <c r="O22" i="19"/>
  <c r="P22" i="19" s="1"/>
  <c r="S22" i="19"/>
  <c r="T22" i="19" s="1"/>
  <c r="Y22" i="19"/>
  <c r="J23" i="19"/>
  <c r="O23" i="19"/>
  <c r="P23" i="19" s="1"/>
  <c r="S23" i="19"/>
  <c r="T23" i="19" s="1"/>
  <c r="Y23" i="19"/>
  <c r="J24" i="19"/>
  <c r="O24" i="19"/>
  <c r="P24" i="19" s="1"/>
  <c r="S24" i="19"/>
  <c r="T24" i="19" s="1"/>
  <c r="Y24" i="19"/>
  <c r="J22" i="15"/>
  <c r="O22" i="15"/>
  <c r="P22" i="15" s="1"/>
  <c r="S22" i="15"/>
  <c r="T22" i="15" s="1"/>
  <c r="Y22" i="15"/>
  <c r="J21" i="15"/>
  <c r="O21" i="15"/>
  <c r="P21" i="15" s="1"/>
  <c r="S21" i="15"/>
  <c r="T21" i="15" s="1"/>
  <c r="Y21" i="15"/>
  <c r="AG20" i="34"/>
  <c r="AE20" i="34"/>
  <c r="Y20" i="34"/>
  <c r="Z20" i="34" s="1"/>
  <c r="AA20" i="34" s="1"/>
  <c r="S20" i="34"/>
  <c r="T20" i="34" s="1"/>
  <c r="O20" i="34"/>
  <c r="P20" i="34" s="1"/>
  <c r="J20" i="34"/>
  <c r="K20" i="34" s="1"/>
  <c r="L20" i="34" s="1"/>
  <c r="AG22" i="33"/>
  <c r="AE22" i="33"/>
  <c r="Y22" i="33"/>
  <c r="S22" i="33"/>
  <c r="T22" i="33" s="1"/>
  <c r="O22" i="33"/>
  <c r="P22" i="33" s="1"/>
  <c r="J22" i="33"/>
  <c r="Y20" i="28"/>
  <c r="S20" i="28"/>
  <c r="T20" i="28" s="1"/>
  <c r="O20" i="28"/>
  <c r="P20" i="28" s="1"/>
  <c r="J20" i="28"/>
  <c r="Y21" i="28"/>
  <c r="Z21" i="28" s="1"/>
  <c r="AA21" i="28" s="1"/>
  <c r="S21" i="28"/>
  <c r="T21" i="28" s="1"/>
  <c r="O21" i="28"/>
  <c r="P21" i="28" s="1"/>
  <c r="J21" i="28"/>
  <c r="K21" i="28" s="1"/>
  <c r="L21" i="28" s="1"/>
  <c r="Y22" i="27"/>
  <c r="S22" i="27"/>
  <c r="T22" i="27" s="1"/>
  <c r="O22" i="27"/>
  <c r="P22" i="27" s="1"/>
  <c r="J22" i="27"/>
  <c r="Z22" i="30"/>
  <c r="AA22" i="30" s="1"/>
  <c r="K21" i="30"/>
  <c r="L21" i="30" s="1"/>
  <c r="Y20" i="25"/>
  <c r="S20" i="25"/>
  <c r="T20" i="25" s="1"/>
  <c r="O20" i="25"/>
  <c r="P20" i="25" s="1"/>
  <c r="J20" i="25"/>
  <c r="Y20" i="19"/>
  <c r="S20" i="19"/>
  <c r="T20" i="19" s="1"/>
  <c r="O20" i="19"/>
  <c r="P20" i="19" s="1"/>
  <c r="J20" i="19"/>
  <c r="S20" i="15"/>
  <c r="T20" i="15" s="1"/>
  <c r="O20" i="15"/>
  <c r="Y20" i="15"/>
  <c r="J20" i="15"/>
  <c r="AH20" i="33" l="1"/>
  <c r="Z23" i="27"/>
  <c r="AA23" i="27" s="1"/>
  <c r="AH21" i="33"/>
  <c r="Z21" i="33"/>
  <c r="AA21" i="33" s="1"/>
  <c r="K22" i="33"/>
  <c r="L22" i="33" s="1"/>
  <c r="K21" i="33"/>
  <c r="L21" i="33" s="1"/>
  <c r="K20" i="33"/>
  <c r="L20" i="33" s="1"/>
  <c r="C21" i="28"/>
  <c r="K20" i="28"/>
  <c r="L20" i="28" s="1"/>
  <c r="Z25" i="27"/>
  <c r="AA25" i="27" s="1"/>
  <c r="Z21" i="27"/>
  <c r="AA21" i="27" s="1"/>
  <c r="Z20" i="27"/>
  <c r="AA20" i="27" s="1"/>
  <c r="K24" i="27"/>
  <c r="L24" i="27" s="1"/>
  <c r="K22" i="27"/>
  <c r="L22" i="27" s="1"/>
  <c r="K23" i="27"/>
  <c r="L23" i="27" s="1"/>
  <c r="C23" i="27" s="1"/>
  <c r="K26" i="27"/>
  <c r="L26" i="27" s="1"/>
  <c r="Z20" i="30"/>
  <c r="AA20" i="30" s="1"/>
  <c r="Z21" i="30"/>
  <c r="AA21" i="30" s="1"/>
  <c r="C21" i="30" s="1"/>
  <c r="Z23" i="30"/>
  <c r="AA23" i="30" s="1"/>
  <c r="Z21" i="25"/>
  <c r="AA21" i="25" s="1"/>
  <c r="K22" i="25"/>
  <c r="L22" i="25" s="1"/>
  <c r="K23" i="30"/>
  <c r="L23" i="30" s="1"/>
  <c r="K22" i="30"/>
  <c r="L22" i="30" s="1"/>
  <c r="C22" i="30" s="1"/>
  <c r="K20" i="30"/>
  <c r="L20" i="30" s="1"/>
  <c r="Z20" i="29"/>
  <c r="AA20" i="29" s="1"/>
  <c r="Z21" i="29"/>
  <c r="AA21" i="29" s="1"/>
  <c r="Z20" i="15"/>
  <c r="AA20" i="15" s="1"/>
  <c r="K20" i="15"/>
  <c r="K21" i="29"/>
  <c r="L21" i="29" s="1"/>
  <c r="K20" i="29"/>
  <c r="L20" i="29" s="1"/>
  <c r="K20" i="19"/>
  <c r="L20" i="19" s="1"/>
  <c r="K24" i="19"/>
  <c r="L24" i="19" s="1"/>
  <c r="Z24" i="19"/>
  <c r="AA24" i="19" s="1"/>
  <c r="K23" i="19"/>
  <c r="L23" i="19" s="1"/>
  <c r="K22" i="19"/>
  <c r="L22" i="19" s="1"/>
  <c r="Z21" i="19"/>
  <c r="AA21" i="19" s="1"/>
  <c r="Z22" i="25"/>
  <c r="AA22" i="25" s="1"/>
  <c r="K21" i="25"/>
  <c r="L21" i="25" s="1"/>
  <c r="K20" i="25"/>
  <c r="L20" i="25" s="1"/>
  <c r="Z21" i="15"/>
  <c r="AA21" i="15" s="1"/>
  <c r="K21" i="15"/>
  <c r="L21" i="15" s="1"/>
  <c r="Z22" i="15"/>
  <c r="AA22" i="15" s="1"/>
  <c r="AH20" i="34"/>
  <c r="AI20" i="34" s="1"/>
  <c r="AJ20" i="34" s="1"/>
  <c r="C20" i="34" s="1"/>
  <c r="Z20" i="33"/>
  <c r="AA20" i="33" s="1"/>
  <c r="Z22" i="33"/>
  <c r="AA22" i="33" s="1"/>
  <c r="Z24" i="27"/>
  <c r="AA24" i="27" s="1"/>
  <c r="K25" i="27"/>
  <c r="L25" i="27" s="1"/>
  <c r="C25" i="27" s="1"/>
  <c r="Z26" i="27"/>
  <c r="AA26" i="27" s="1"/>
  <c r="K21" i="27"/>
  <c r="L21" i="27" s="1"/>
  <c r="K20" i="27"/>
  <c r="L20" i="27" s="1"/>
  <c r="C20" i="27" s="1"/>
  <c r="Z22" i="27"/>
  <c r="AA22" i="27" s="1"/>
  <c r="Z20" i="25"/>
  <c r="AA20" i="25" s="1"/>
  <c r="Z23" i="19"/>
  <c r="AA23" i="19" s="1"/>
  <c r="Z22" i="19"/>
  <c r="AA22" i="19" s="1"/>
  <c r="K21" i="19"/>
  <c r="L21" i="19" s="1"/>
  <c r="Z20" i="19"/>
  <c r="AA20" i="19" s="1"/>
  <c r="K22" i="15"/>
  <c r="L22" i="15" s="1"/>
  <c r="AH22" i="33"/>
  <c r="AI20" i="33" s="1"/>
  <c r="AJ20" i="33" s="1"/>
  <c r="Z20" i="28"/>
  <c r="AA20" i="28" s="1"/>
  <c r="C20" i="29" l="1"/>
  <c r="C21" i="19"/>
  <c r="C22" i="15"/>
  <c r="C20" i="33"/>
  <c r="C20" i="28"/>
  <c r="C24" i="27"/>
  <c r="C21" i="27"/>
  <c r="C26" i="27"/>
  <c r="C22" i="27"/>
  <c r="C21" i="25"/>
  <c r="C22" i="25"/>
  <c r="C20" i="25"/>
  <c r="C20" i="30"/>
  <c r="C23" i="30"/>
  <c r="C24" i="19"/>
  <c r="C23" i="19"/>
  <c r="C22" i="19"/>
  <c r="C20" i="19"/>
  <c r="C21" i="29"/>
  <c r="B21" i="29" s="1"/>
  <c r="C21" i="15"/>
  <c r="AI21" i="33"/>
  <c r="AJ21" i="33" s="1"/>
  <c r="C21" i="33" s="1"/>
  <c r="B20" i="29"/>
  <c r="AI22" i="33"/>
  <c r="AJ22" i="33" s="1"/>
  <c r="C22" i="33" s="1"/>
  <c r="B21" i="33" l="1"/>
  <c r="B20" i="33"/>
  <c r="B24" i="27"/>
  <c r="B25" i="27"/>
  <c r="B20" i="27"/>
  <c r="B21" i="27"/>
  <c r="B23" i="27"/>
  <c r="B26" i="27"/>
  <c r="B22" i="25"/>
  <c r="B21" i="25"/>
  <c r="B21" i="30"/>
  <c r="B23" i="30"/>
  <c r="B22" i="30"/>
  <c r="B20" i="30"/>
  <c r="B22" i="19"/>
  <c r="B20" i="19"/>
  <c r="B23" i="19"/>
  <c r="B21" i="19"/>
  <c r="B20" i="34"/>
  <c r="B22" i="33" l="1"/>
  <c r="B22" i="27" l="1"/>
  <c r="B20" i="25"/>
  <c r="B21" i="28"/>
  <c r="B20" i="28"/>
  <c r="L20" i="15" l="1"/>
  <c r="P20" i="15"/>
  <c r="C20" i="15" l="1"/>
  <c r="B21" i="15" l="1"/>
  <c r="B22" i="15"/>
  <c r="B20" i="15"/>
</calcChain>
</file>

<file path=xl/sharedStrings.xml><?xml version="1.0" encoding="utf-8"?>
<sst xmlns="http://schemas.openxmlformats.org/spreadsheetml/2006/main" count="467" uniqueCount="96">
  <si>
    <t>100-бальная система</t>
  </si>
  <si>
    <t>место</t>
  </si>
  <si>
    <t>баллы</t>
  </si>
  <si>
    <t>Итоговый результат</t>
  </si>
  <si>
    <t>Задание 2
100 баллов</t>
  </si>
  <si>
    <t>Задание 3
100 баллов</t>
  </si>
  <si>
    <t>Задание 4
100 баллов</t>
  </si>
  <si>
    <t>Итоговое место</t>
  </si>
  <si>
    <t>Сумма баллов</t>
  </si>
  <si>
    <t>ФИО</t>
  </si>
  <si>
    <t>Мин</t>
  </si>
  <si>
    <t>Сек</t>
  </si>
  <si>
    <t>Время</t>
  </si>
  <si>
    <t>Место</t>
  </si>
  <si>
    <t>Баллы</t>
  </si>
  <si>
    <t>Повторения</t>
  </si>
  <si>
    <t>Штраф</t>
  </si>
  <si>
    <t>Общероссийская физкультурно-спортивная общественная организация</t>
  </si>
  <si>
    <t>«Федерация функционального многоборья»</t>
  </si>
  <si>
    <t>105122, г. Москва, Сиреневый бульвар, д. 4, тел: 8-495-660-33-94, 8-499-401-02-37</t>
  </si>
  <si>
    <t>Итоговый протокол</t>
  </si>
  <si>
    <r>
      <t>ОГРН 1127799008754, ИНН</t>
    </r>
    <r>
      <rPr>
        <b/>
        <sz val="12"/>
        <color theme="1"/>
        <rFont val="Times New Roman"/>
        <family val="1"/>
        <charset val="204"/>
      </rPr>
      <t>/</t>
    </r>
    <r>
      <rPr>
        <sz val="12"/>
        <color theme="1"/>
        <rFont val="Times New Roman"/>
        <family val="1"/>
        <charset val="204"/>
      </rPr>
      <t>КПП 7719289698</t>
    </r>
    <r>
      <rPr>
        <b/>
        <sz val="12"/>
        <color theme="1"/>
        <rFont val="Times New Roman"/>
        <family val="1"/>
        <charset val="204"/>
      </rPr>
      <t>/</t>
    </r>
    <r>
      <rPr>
        <sz val="12"/>
        <color theme="1"/>
        <rFont val="Times New Roman"/>
        <family val="1"/>
        <charset val="204"/>
      </rPr>
      <t>771901001</t>
    </r>
  </si>
  <si>
    <t>Главный судья______________ Смирнов А.А.</t>
  </si>
  <si>
    <t>Главный секретарь_________ Комарова М.Г.</t>
  </si>
  <si>
    <t>Задание 1.2
100 баллов</t>
  </si>
  <si>
    <t>Задание 1.1
100 баллов</t>
  </si>
  <si>
    <t>Девушки
14-15 (до 53 кг)</t>
  </si>
  <si>
    <t>Девушки 14 - 15 лет</t>
  </si>
  <si>
    <t>Весовая категория до 53 кг</t>
  </si>
  <si>
    <t>Девушки
14-15 (53+ кг)</t>
  </si>
  <si>
    <t>Девушки
16-17 (до 58 кг)</t>
  </si>
  <si>
    <t>Юноши
14-15 (до 60 кг)</t>
  </si>
  <si>
    <t>Юноши
14-15 (60+ кг)</t>
  </si>
  <si>
    <t>Юноши
16-17 (70+ кг)</t>
  </si>
  <si>
    <t>Юноши
16-17 (до 70 кг)</t>
  </si>
  <si>
    <t>Лаубкина Мария</t>
  </si>
  <si>
    <t>Якобнюк Анна</t>
  </si>
  <si>
    <t>Каталкина Полина</t>
  </si>
  <si>
    <t>Струева Екатерина</t>
  </si>
  <si>
    <t>Козлова Александра</t>
  </si>
  <si>
    <t>Жемчугов Евгений</t>
  </si>
  <si>
    <t>Астафьев Илья</t>
  </si>
  <si>
    <t>Аверьянов Данила</t>
  </si>
  <si>
    <t>Кравчук Владислав</t>
  </si>
  <si>
    <t>Ешмухамедов Радмир</t>
  </si>
  <si>
    <t>Весовая категория 53+ кг</t>
  </si>
  <si>
    <t>Девушки 16 - 17 лет</t>
  </si>
  <si>
    <t>Весовая категория до 58 кг</t>
  </si>
  <si>
    <t>Весовая категория до 60 кг</t>
  </si>
  <si>
    <t>Юноши 14 - 15 лет</t>
  </si>
  <si>
    <t>Весовая категория 60+ кг</t>
  </si>
  <si>
    <t>Юноши 16 - 17 лет</t>
  </si>
  <si>
    <t>Весовая категория до 70 кг</t>
  </si>
  <si>
    <t>Весовая категория 70+ кг</t>
  </si>
  <si>
    <t>Юниоры
18-20 (до 85 кг)</t>
  </si>
  <si>
    <t>Весовая категория до 85 кг</t>
  </si>
  <si>
    <t>Юниоры 18 - 20 лет</t>
  </si>
  <si>
    <t>Юниоры
18-20 (85+ кг)</t>
  </si>
  <si>
    <t>Весовая категория 85+ кг</t>
  </si>
  <si>
    <t>Вес 1</t>
  </si>
  <si>
    <t>Вес 2</t>
  </si>
  <si>
    <t>Вес 3</t>
  </si>
  <si>
    <t>Тоннаж</t>
  </si>
  <si>
    <t>Рывок</t>
  </si>
  <si>
    <t>Подъемы</t>
  </si>
  <si>
    <t>Махи</t>
  </si>
  <si>
    <t>Сумма</t>
  </si>
  <si>
    <t>10 минут</t>
  </si>
  <si>
    <t>Платкова Виктория</t>
  </si>
  <si>
    <t>Клюшкина Ирина</t>
  </si>
  <si>
    <t>Силкина Ксения</t>
  </si>
  <si>
    <t>Зуйкова Кристина</t>
  </si>
  <si>
    <t>Гусева Влада</t>
  </si>
  <si>
    <t>Татарникова Марина</t>
  </si>
  <si>
    <t>Шипилова Мария</t>
  </si>
  <si>
    <t>Герасимов Павел</t>
  </si>
  <si>
    <t>Алексеев Матвей</t>
  </si>
  <si>
    <t>Иванов Артём</t>
  </si>
  <si>
    <t>Хайхин Никита</t>
  </si>
  <si>
    <t>Похлебаев Никита</t>
  </si>
  <si>
    <t>Монахов Егор</t>
  </si>
  <si>
    <t>Другов Андрей</t>
  </si>
  <si>
    <t>Рунов Дмитрий</t>
  </si>
  <si>
    <t>Киреев Дмитрий</t>
  </si>
  <si>
    <t>Пчелинцев Иван</t>
  </si>
  <si>
    <t>Меркулов Иван</t>
  </si>
  <si>
    <t>Маханьков Владимир</t>
  </si>
  <si>
    <t>Ермолаев Даниил</t>
  </si>
  <si>
    <t>Пашков Иван</t>
  </si>
  <si>
    <t>Якушкин Олег</t>
  </si>
  <si>
    <t>Девушки
16-17 (58+ кг)</t>
  </si>
  <si>
    <t>Весовая категория 58+ кг</t>
  </si>
  <si>
    <t>Первенство Московской области по функциональному многоборью</t>
  </si>
  <si>
    <t>25 - 26 января 2020 года</t>
  </si>
  <si>
    <t>Запрыгивания</t>
  </si>
  <si>
    <r>
      <t>ОГРН 1127799008754, ИНН</t>
    </r>
    <r>
      <rPr>
        <b/>
        <sz val="12"/>
        <rFont val="Times New Roman"/>
        <family val="1"/>
        <charset val="204"/>
      </rPr>
      <t>/</t>
    </r>
    <r>
      <rPr>
        <sz val="12"/>
        <rFont val="Times New Roman"/>
        <family val="1"/>
        <charset val="204"/>
      </rPr>
      <t>КПП 7719289698</t>
    </r>
    <r>
      <rPr>
        <b/>
        <sz val="12"/>
        <rFont val="Times New Roman"/>
        <family val="1"/>
        <charset val="204"/>
      </rPr>
      <t>/</t>
    </r>
    <r>
      <rPr>
        <sz val="12"/>
        <rFont val="Times New Roman"/>
        <family val="1"/>
        <charset val="204"/>
      </rPr>
      <t>771901001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</si>
</sst>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5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10"/>
      <color rgb="FF000000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name val="Calibri"/>
      <family val="2"/>
      <charset val="204"/>
    </font>
    <font>
      <i/>
      <sz val="10"/>
      <name val="Calibri"/>
      <family val="2"/>
      <charset val="204"/>
    </font>
    <font>
      <b/>
      <i/>
      <sz val="14"/>
      <name val="Times New Roman"/>
      <family val="1"/>
      <charset val="204"/>
    </font>
    <font>
      <b/>
      <i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9CC2E5"/>
        <bgColor rgb="FF9CC2E5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3"/>
    <xf numFmtId="0" fontId="15" fillId="0" borderId="3"/>
  </cellStyleXfs>
  <cellXfs count="106">
    <xf numFmtId="0" fontId="0" fillId="0" borderId="0" xfId="0" applyFont="1" applyAlignment="1"/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/>
    <xf numFmtId="0" fontId="8" fillId="4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164" fontId="0" fillId="0" borderId="0" xfId="0" applyNumberFormat="1" applyFont="1" applyAlignment="1"/>
    <xf numFmtId="0" fontId="4" fillId="6" borderId="4" xfId="0" applyFont="1" applyFill="1" applyBorder="1" applyAlignment="1">
      <alignment horizontal="center" vertical="center"/>
    </xf>
    <xf numFmtId="0" fontId="5" fillId="0" borderId="4" xfId="0" applyFont="1" applyBorder="1"/>
    <xf numFmtId="0" fontId="10" fillId="0" borderId="0" xfId="0" applyFont="1" applyAlignment="1"/>
    <xf numFmtId="0" fontId="13" fillId="0" borderId="0" xfId="0" applyFont="1" applyAlignment="1"/>
    <xf numFmtId="164" fontId="0" fillId="0" borderId="4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4" xfId="0" applyBorder="1"/>
    <xf numFmtId="0" fontId="8" fillId="0" borderId="4" xfId="0" applyFont="1" applyBorder="1"/>
    <xf numFmtId="0" fontId="0" fillId="0" borderId="3" xfId="2" applyFont="1" applyAlignment="1"/>
    <xf numFmtId="0" fontId="13" fillId="0" borderId="3" xfId="2" applyFont="1" applyAlignment="1"/>
    <xf numFmtId="0" fontId="0" fillId="0" borderId="3" xfId="2" applyFont="1" applyFill="1" applyAlignment="1"/>
    <xf numFmtId="0" fontId="0" fillId="0" borderId="4" xfId="2" applyFont="1" applyBorder="1" applyAlignment="1">
      <alignment horizontal="center" vertical="center"/>
    </xf>
    <xf numFmtId="0" fontId="0" fillId="0" borderId="4" xfId="2" applyFont="1" applyBorder="1"/>
    <xf numFmtId="0" fontId="8" fillId="0" borderId="4" xfId="2" applyFont="1" applyBorder="1"/>
    <xf numFmtId="0" fontId="3" fillId="6" borderId="4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4" fillId="6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164" fontId="0" fillId="0" borderId="3" xfId="2" applyNumberFormat="1" applyFont="1" applyAlignment="1"/>
    <xf numFmtId="0" fontId="10" fillId="0" borderId="3" xfId="2" applyFont="1" applyAlignment="1"/>
    <xf numFmtId="0" fontId="1" fillId="0" borderId="4" xfId="0" applyFont="1" applyBorder="1"/>
    <xf numFmtId="0" fontId="1" fillId="0" borderId="4" xfId="2" applyFont="1" applyBorder="1"/>
    <xf numFmtId="0" fontId="0" fillId="7" borderId="0" xfId="0" applyFont="1" applyFill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2" fillId="0" borderId="0" xfId="0" applyFont="1" applyAlignment="1"/>
    <xf numFmtId="0" fontId="11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 applyAlignment="1"/>
    <xf numFmtId="0" fontId="0" fillId="0" borderId="3" xfId="0" applyFont="1" applyBorder="1"/>
    <xf numFmtId="0" fontId="0" fillId="0" borderId="3" xfId="0" applyBorder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/>
    <xf numFmtId="164" fontId="0" fillId="0" borderId="3" xfId="0" applyNumberFormat="1" applyFont="1" applyBorder="1" applyAlignment="1">
      <alignment horizontal="center" vertical="center"/>
    </xf>
    <xf numFmtId="0" fontId="1" fillId="0" borderId="4" xfId="0" applyFont="1" applyBorder="1"/>
    <xf numFmtId="0" fontId="12" fillId="0" borderId="3" xfId="2" applyFont="1" applyAlignment="1"/>
    <xf numFmtId="0" fontId="0" fillId="0" borderId="3" xfId="2" applyFont="1" applyBorder="1" applyAlignment="1">
      <alignment horizontal="center" vertical="center"/>
    </xf>
    <xf numFmtId="0" fontId="0" fillId="0" borderId="3" xfId="2" applyFont="1" applyBorder="1"/>
    <xf numFmtId="0" fontId="8" fillId="0" borderId="3" xfId="2" applyFont="1" applyBorder="1"/>
    <xf numFmtId="0" fontId="10" fillId="0" borderId="3" xfId="2" applyFont="1" applyBorder="1" applyAlignment="1">
      <alignment vertical="center"/>
    </xf>
    <xf numFmtId="0" fontId="11" fillId="0" borderId="3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9" fillId="0" borderId="3" xfId="2" applyFont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4" xfId="2" applyFont="1" applyFill="1" applyBorder="1" applyAlignment="1">
      <alignment horizontal="center" vertical="center" wrapText="1"/>
    </xf>
    <xf numFmtId="0" fontId="1" fillId="0" borderId="4" xfId="2" applyFont="1" applyBorder="1"/>
    <xf numFmtId="0" fontId="10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/>
    <xf numFmtId="0" fontId="20" fillId="0" borderId="3" xfId="0" applyFont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1" fillId="5" borderId="11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/>
    </xf>
    <xf numFmtId="0" fontId="23" fillId="0" borderId="0" xfId="0" applyFont="1" applyAlignment="1"/>
    <xf numFmtId="0" fontId="24" fillId="0" borderId="0" xfId="0" applyFont="1" applyAlignment="1"/>
  </cellXfs>
  <cellStyles count="3">
    <cellStyle name="Обычный" xfId="0" builtinId="0"/>
    <cellStyle name="Обычный 2" xfId="1" xr:uid="{00000000-0005-0000-0000-000001000000}"/>
    <cellStyle name="Обычный 3" xfId="2" xr:uid="{2E92B512-36F7-40CB-A76A-F4B3B778D8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0"/>
  <sheetViews>
    <sheetView workbookViewId="0">
      <selection activeCell="J16" sqref="J16"/>
    </sheetView>
  </sheetViews>
  <sheetFormatPr defaultColWidth="14.42578125" defaultRowHeight="15" customHeight="1" x14ac:dyDescent="0.25"/>
  <cols>
    <col min="1" max="9" width="8.7109375" customWidth="1"/>
  </cols>
  <sheetData>
    <row r="1" spans="1:2" x14ac:dyDescent="0.25">
      <c r="A1" s="60" t="s">
        <v>0</v>
      </c>
      <c r="B1" s="61"/>
    </row>
    <row r="2" spans="1:2" x14ac:dyDescent="0.25">
      <c r="A2" s="1" t="s">
        <v>1</v>
      </c>
      <c r="B2" s="1" t="s">
        <v>2</v>
      </c>
    </row>
    <row r="3" spans="1:2" x14ac:dyDescent="0.25">
      <c r="A3" s="2">
        <v>1</v>
      </c>
      <c r="B3" s="2">
        <v>100</v>
      </c>
    </row>
    <row r="4" spans="1:2" x14ac:dyDescent="0.25">
      <c r="A4" s="2">
        <v>2</v>
      </c>
      <c r="B4" s="2">
        <v>95</v>
      </c>
    </row>
    <row r="5" spans="1:2" x14ac:dyDescent="0.25">
      <c r="A5" s="2">
        <v>3</v>
      </c>
      <c r="B5" s="2">
        <v>90</v>
      </c>
    </row>
    <row r="6" spans="1:2" x14ac:dyDescent="0.25">
      <c r="A6" s="2">
        <v>4</v>
      </c>
      <c r="B6" s="2">
        <v>85</v>
      </c>
    </row>
    <row r="7" spans="1:2" x14ac:dyDescent="0.25">
      <c r="A7" s="2">
        <v>5</v>
      </c>
      <c r="B7" s="2">
        <v>80</v>
      </c>
    </row>
    <row r="8" spans="1:2" x14ac:dyDescent="0.25">
      <c r="A8" s="2">
        <v>6</v>
      </c>
      <c r="B8" s="2">
        <v>75</v>
      </c>
    </row>
    <row r="9" spans="1:2" x14ac:dyDescent="0.25">
      <c r="A9" s="2">
        <v>7</v>
      </c>
      <c r="B9" s="2">
        <v>73</v>
      </c>
    </row>
    <row r="10" spans="1:2" x14ac:dyDescent="0.25">
      <c r="A10" s="2">
        <v>8</v>
      </c>
      <c r="B10" s="2">
        <v>71</v>
      </c>
    </row>
    <row r="11" spans="1:2" x14ac:dyDescent="0.25">
      <c r="A11" s="2">
        <v>9</v>
      </c>
      <c r="B11" s="2">
        <v>69</v>
      </c>
    </row>
    <row r="12" spans="1:2" x14ac:dyDescent="0.25">
      <c r="A12" s="2">
        <v>10</v>
      </c>
      <c r="B12" s="2">
        <v>67</v>
      </c>
    </row>
    <row r="13" spans="1:2" x14ac:dyDescent="0.25">
      <c r="A13" s="2">
        <v>11</v>
      </c>
      <c r="B13" s="2">
        <v>65</v>
      </c>
    </row>
    <row r="14" spans="1:2" x14ac:dyDescent="0.25">
      <c r="A14" s="2">
        <v>12</v>
      </c>
      <c r="B14" s="2">
        <v>63</v>
      </c>
    </row>
    <row r="15" spans="1:2" x14ac:dyDescent="0.25">
      <c r="A15" s="2">
        <v>13</v>
      </c>
      <c r="B15" s="2">
        <v>61</v>
      </c>
    </row>
    <row r="16" spans="1:2" x14ac:dyDescent="0.25">
      <c r="A16" s="2">
        <v>14</v>
      </c>
      <c r="B16" s="2">
        <v>59</v>
      </c>
    </row>
    <row r="17" spans="1:2" x14ac:dyDescent="0.25">
      <c r="A17" s="2">
        <v>15</v>
      </c>
      <c r="B17" s="2">
        <v>57</v>
      </c>
    </row>
    <row r="18" spans="1:2" x14ac:dyDescent="0.25">
      <c r="A18" s="2">
        <v>16</v>
      </c>
      <c r="B18" s="2">
        <v>55</v>
      </c>
    </row>
    <row r="19" spans="1:2" x14ac:dyDescent="0.25">
      <c r="A19" s="2">
        <v>17</v>
      </c>
      <c r="B19" s="2">
        <v>53</v>
      </c>
    </row>
    <row r="20" spans="1:2" x14ac:dyDescent="0.25">
      <c r="A20" s="2">
        <v>18</v>
      </c>
      <c r="B20" s="2">
        <v>51</v>
      </c>
    </row>
    <row r="21" spans="1:2" ht="15.75" customHeight="1" x14ac:dyDescent="0.25">
      <c r="A21" s="2">
        <v>19</v>
      </c>
      <c r="B21" s="2">
        <v>49</v>
      </c>
    </row>
    <row r="22" spans="1:2" ht="15.75" customHeight="1" x14ac:dyDescent="0.25">
      <c r="A22" s="2">
        <v>20</v>
      </c>
      <c r="B22" s="2">
        <v>47</v>
      </c>
    </row>
    <row r="23" spans="1:2" ht="15.75" customHeight="1" x14ac:dyDescent="0.25">
      <c r="A23" s="2">
        <v>21</v>
      </c>
      <c r="B23" s="2">
        <v>45</v>
      </c>
    </row>
    <row r="24" spans="1:2" ht="15.75" customHeight="1" x14ac:dyDescent="0.25">
      <c r="A24" s="2">
        <v>22</v>
      </c>
      <c r="B24" s="2">
        <v>43</v>
      </c>
    </row>
    <row r="25" spans="1:2" ht="15.75" customHeight="1" x14ac:dyDescent="0.25">
      <c r="A25" s="2">
        <v>23</v>
      </c>
      <c r="B25" s="2">
        <v>41</v>
      </c>
    </row>
    <row r="26" spans="1:2" ht="15.75" customHeight="1" x14ac:dyDescent="0.25">
      <c r="A26" s="2">
        <v>24</v>
      </c>
      <c r="B26" s="2">
        <v>39</v>
      </c>
    </row>
    <row r="27" spans="1:2" ht="15.75" customHeight="1" x14ac:dyDescent="0.25">
      <c r="A27" s="2">
        <v>25</v>
      </c>
      <c r="B27" s="2">
        <v>37</v>
      </c>
    </row>
    <row r="28" spans="1:2" ht="15.75" customHeight="1" x14ac:dyDescent="0.25">
      <c r="A28" s="2">
        <v>26</v>
      </c>
      <c r="B28" s="2">
        <v>35</v>
      </c>
    </row>
    <row r="29" spans="1:2" ht="15.75" customHeight="1" x14ac:dyDescent="0.25">
      <c r="A29" s="2">
        <v>27</v>
      </c>
      <c r="B29" s="2">
        <v>33</v>
      </c>
    </row>
    <row r="30" spans="1:2" ht="15.75" customHeight="1" x14ac:dyDescent="0.25">
      <c r="A30" s="2">
        <v>28</v>
      </c>
      <c r="B30" s="2">
        <v>31</v>
      </c>
    </row>
    <row r="31" spans="1:2" ht="15.75" customHeight="1" x14ac:dyDescent="0.25">
      <c r="A31" s="2">
        <v>29</v>
      </c>
      <c r="B31" s="2">
        <v>29</v>
      </c>
    </row>
    <row r="32" spans="1:2" ht="15.75" customHeight="1" x14ac:dyDescent="0.25">
      <c r="A32" s="2">
        <v>30</v>
      </c>
      <c r="B32" s="2">
        <v>27</v>
      </c>
    </row>
    <row r="33" spans="1:2" ht="15.75" customHeight="1" x14ac:dyDescent="0.25">
      <c r="A33" s="2">
        <v>31</v>
      </c>
      <c r="B33" s="2">
        <v>26</v>
      </c>
    </row>
    <row r="34" spans="1:2" ht="15.75" customHeight="1" x14ac:dyDescent="0.25">
      <c r="A34" s="2">
        <v>32</v>
      </c>
      <c r="B34" s="2">
        <v>25</v>
      </c>
    </row>
    <row r="35" spans="1:2" ht="15.75" customHeight="1" x14ac:dyDescent="0.25">
      <c r="A35" s="2">
        <v>33</v>
      </c>
      <c r="B35" s="2">
        <v>24</v>
      </c>
    </row>
    <row r="36" spans="1:2" ht="15.75" customHeight="1" x14ac:dyDescent="0.25">
      <c r="A36" s="2">
        <v>34</v>
      </c>
      <c r="B36" s="2">
        <v>23</v>
      </c>
    </row>
    <row r="37" spans="1:2" ht="15.75" customHeight="1" x14ac:dyDescent="0.25">
      <c r="A37" s="2">
        <v>35</v>
      </c>
      <c r="B37" s="2">
        <v>22</v>
      </c>
    </row>
    <row r="38" spans="1:2" ht="15.75" customHeight="1" x14ac:dyDescent="0.25">
      <c r="A38" s="2">
        <v>36</v>
      </c>
      <c r="B38" s="2">
        <v>21</v>
      </c>
    </row>
    <row r="39" spans="1:2" ht="15.75" customHeight="1" x14ac:dyDescent="0.25">
      <c r="A39" s="2">
        <v>37</v>
      </c>
      <c r="B39" s="2">
        <v>20</v>
      </c>
    </row>
    <row r="40" spans="1:2" ht="15.75" customHeight="1" x14ac:dyDescent="0.25">
      <c r="A40" s="2">
        <v>38</v>
      </c>
      <c r="B40" s="2">
        <v>19</v>
      </c>
    </row>
    <row r="41" spans="1:2" ht="15.75" customHeight="1" x14ac:dyDescent="0.25">
      <c r="A41" s="2">
        <v>39</v>
      </c>
      <c r="B41" s="2">
        <v>18</v>
      </c>
    </row>
    <row r="42" spans="1:2" ht="15.75" customHeight="1" x14ac:dyDescent="0.25">
      <c r="A42" s="2">
        <v>40</v>
      </c>
      <c r="B42" s="2">
        <v>17</v>
      </c>
    </row>
    <row r="43" spans="1:2" ht="15.75" customHeight="1" x14ac:dyDescent="0.25"/>
    <row r="44" spans="1:2" ht="15.75" customHeight="1" x14ac:dyDescent="0.25"/>
    <row r="45" spans="1:2" ht="15.75" customHeight="1" x14ac:dyDescent="0.25"/>
    <row r="46" spans="1:2" ht="15.75" customHeight="1" x14ac:dyDescent="0.25"/>
    <row r="47" spans="1:2" ht="15.75" customHeight="1" x14ac:dyDescent="0.25"/>
    <row r="48" spans="1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A1:B1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FC9C-2641-41BA-B27F-59DE334CB62C}">
  <sheetPr>
    <pageSetUpPr fitToPage="1"/>
  </sheetPr>
  <dimension ref="A1:AT86"/>
  <sheetViews>
    <sheetView zoomScaleNormal="100" workbookViewId="0">
      <selection activeCell="S30" sqref="S30"/>
    </sheetView>
  </sheetViews>
  <sheetFormatPr defaultColWidth="14.42578125" defaultRowHeight="15" customHeight="1" outlineLevelRow="1" outlineLevelCol="1" x14ac:dyDescent="0.25"/>
  <cols>
    <col min="1" max="1" width="8.7109375" style="21" customWidth="1"/>
    <col min="2" max="2" width="9" style="21" customWidth="1"/>
    <col min="3" max="3" width="7.42578125" style="21" customWidth="1"/>
    <col min="4" max="4" width="1.42578125" style="21" customWidth="1"/>
    <col min="5" max="5" width="21" style="21" bestFit="1" customWidth="1"/>
    <col min="6" max="6" width="1.42578125" style="21" customWidth="1"/>
    <col min="7" max="9" width="5.5703125" style="21" customWidth="1" outlineLevel="1"/>
    <col min="10" max="10" width="7.85546875" style="21" bestFit="1" customWidth="1"/>
    <col min="11" max="11" width="7.140625" style="21" bestFit="1" customWidth="1"/>
    <col min="12" max="12" width="6.85546875" style="21" bestFit="1" customWidth="1"/>
    <col min="13" max="13" width="1.42578125" style="21" customWidth="1"/>
    <col min="14" max="14" width="6.85546875" style="21" customWidth="1"/>
    <col min="15" max="15" width="7.140625" style="21" bestFit="1" customWidth="1"/>
    <col min="16" max="16" width="6.85546875" style="21" bestFit="1" customWidth="1"/>
    <col min="17" max="17" width="1.42578125" style="21" customWidth="1"/>
    <col min="18" max="18" width="6.85546875" style="21" customWidth="1"/>
    <col min="19" max="19" width="7.140625" style="21" bestFit="1" customWidth="1"/>
    <col min="20" max="20" width="6.85546875" style="21" bestFit="1" customWidth="1"/>
    <col min="21" max="21" width="1.42578125" style="21" customWidth="1"/>
    <col min="22" max="22" width="6.5703125" style="21" customWidth="1" outlineLevel="1"/>
    <col min="23" max="23" width="9.140625" style="21" customWidth="1" outlineLevel="1"/>
    <col min="24" max="24" width="6" style="21" customWidth="1" outlineLevel="1"/>
    <col min="25" max="25" width="7" style="21" bestFit="1" customWidth="1"/>
    <col min="26" max="26" width="7.140625" style="21" customWidth="1"/>
    <col min="27" max="27" width="6.85546875" style="21" customWidth="1"/>
    <col min="28" max="28" width="1.42578125" style="21" customWidth="1"/>
    <col min="29" max="29" width="5.140625" style="21" hidden="1" customWidth="1" outlineLevel="1"/>
    <col min="30" max="30" width="4.28515625" style="21" hidden="1" customWidth="1" outlineLevel="1"/>
    <col min="31" max="31" width="7.140625" style="21" bestFit="1" customWidth="1" collapsed="1"/>
    <col min="32" max="32" width="6.85546875" style="21" customWidth="1"/>
    <col min="33" max="33" width="7.85546875" style="21" hidden="1" customWidth="1" outlineLevel="1"/>
    <col min="34" max="34" width="7.140625" style="21" hidden="1" customWidth="1" outlineLevel="1" collapsed="1"/>
    <col min="35" max="35" width="7.140625" style="21" bestFit="1" customWidth="1" collapsed="1"/>
    <col min="36" max="36" width="6.85546875" style="21" bestFit="1" customWidth="1"/>
    <col min="37" max="37" width="6.85546875" style="21" customWidth="1"/>
    <col min="38" max="38" width="7.140625" style="21" bestFit="1" customWidth="1"/>
    <col min="39" max="39" width="6.85546875" style="21" bestFit="1" customWidth="1"/>
    <col min="40" max="40" width="1.42578125" style="21" customWidth="1"/>
    <col min="41" max="41" width="6.85546875" style="21" customWidth="1"/>
    <col min="42" max="42" width="7.140625" style="21" bestFit="1" customWidth="1"/>
    <col min="43" max="43" width="6.85546875" style="21" bestFit="1" customWidth="1"/>
    <col min="44" max="16384" width="14.42578125" style="21"/>
  </cols>
  <sheetData>
    <row r="1" spans="2:46" ht="15" customHeight="1" outlineLevel="1" x14ac:dyDescent="0.25">
      <c r="B1" s="64" t="s">
        <v>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58"/>
      <c r="AL1" s="58"/>
      <c r="AM1" s="58"/>
      <c r="AN1" s="58"/>
      <c r="AO1" s="58"/>
      <c r="AP1" s="58"/>
      <c r="AQ1" s="58"/>
    </row>
    <row r="2" spans="2:46" ht="15" customHeight="1" outlineLevel="1" x14ac:dyDescent="0.25">
      <c r="B2" s="64" t="s">
        <v>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58"/>
      <c r="AL2" s="58"/>
      <c r="AM2" s="58"/>
      <c r="AN2" s="58"/>
      <c r="AO2" s="58"/>
      <c r="AP2" s="58"/>
      <c r="AQ2" s="58"/>
    </row>
    <row r="3" spans="2:46" ht="15" customHeight="1" outlineLevel="1" x14ac:dyDescent="0.25">
      <c r="B3" s="64" t="s">
        <v>21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58"/>
      <c r="AL3" s="58"/>
      <c r="AM3" s="58"/>
      <c r="AN3" s="58"/>
      <c r="AO3" s="58"/>
      <c r="AP3" s="58"/>
      <c r="AQ3" s="58"/>
    </row>
    <row r="4" spans="2:46" ht="15" customHeight="1" outlineLevel="1" x14ac:dyDescent="0.25">
      <c r="B4" s="65" t="s">
        <v>19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59"/>
      <c r="AL4" s="59"/>
      <c r="AM4" s="59"/>
      <c r="AN4" s="59"/>
      <c r="AO4" s="59"/>
      <c r="AP4" s="59"/>
      <c r="AQ4" s="59"/>
    </row>
    <row r="5" spans="2:46" ht="15" customHeight="1" outlineLevel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2:46" ht="18.75" customHeight="1" outlineLevel="1" x14ac:dyDescent="0.25">
      <c r="B6" s="62" t="s">
        <v>92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56"/>
      <c r="AL6" s="56"/>
      <c r="AM6" s="56"/>
      <c r="AN6" s="56"/>
      <c r="AO6" s="56"/>
      <c r="AP6" s="56"/>
      <c r="AQ6" s="56"/>
    </row>
    <row r="7" spans="2:46" ht="18.75" customHeight="1" outlineLevel="1" x14ac:dyDescent="0.25">
      <c r="B7" s="62" t="s">
        <v>93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56"/>
      <c r="AL7" s="56"/>
      <c r="AM7" s="56"/>
      <c r="AN7" s="56"/>
      <c r="AO7" s="56"/>
      <c r="AP7" s="56"/>
      <c r="AQ7" s="56"/>
    </row>
    <row r="8" spans="2:46" ht="18.75" customHeight="1" outlineLevel="1" x14ac:dyDescent="0.25">
      <c r="B8" s="77" t="s">
        <v>56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56"/>
      <c r="AL8" s="56"/>
      <c r="AM8" s="56"/>
      <c r="AN8" s="56"/>
      <c r="AO8" s="56"/>
      <c r="AP8" s="56"/>
      <c r="AQ8" s="56"/>
    </row>
    <row r="9" spans="2:46" ht="18.75" customHeight="1" outlineLevel="1" x14ac:dyDescent="0.25">
      <c r="B9" s="77" t="s">
        <v>55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56"/>
      <c r="AL9" s="56"/>
      <c r="AM9" s="56"/>
      <c r="AN9" s="56"/>
      <c r="AO9" s="56"/>
      <c r="AP9" s="56"/>
      <c r="AQ9" s="56"/>
    </row>
    <row r="10" spans="2:46" ht="15" customHeight="1" outlineLevel="1" x14ac:dyDescent="0.3">
      <c r="I10" s="32"/>
    </row>
    <row r="11" spans="2:46" ht="25.5" customHeight="1" outlineLevel="1" x14ac:dyDescent="0.25">
      <c r="B11" s="78" t="s">
        <v>20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57"/>
      <c r="AL11" s="57"/>
      <c r="AM11" s="57"/>
      <c r="AN11" s="57"/>
      <c r="AO11" s="57"/>
      <c r="AP11" s="57"/>
      <c r="AQ11" s="57"/>
    </row>
    <row r="12" spans="2:46" ht="15" customHeight="1" x14ac:dyDescent="0.25"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2:46" hidden="1" outlineLevel="1" x14ac:dyDescent="0.25">
      <c r="E13" s="31"/>
      <c r="G13" s="2"/>
      <c r="H13" s="2"/>
      <c r="I13" s="2"/>
      <c r="J13" s="2"/>
      <c r="K13" s="2"/>
      <c r="L13" s="3">
        <v>1</v>
      </c>
      <c r="M13"/>
      <c r="N13" s="2"/>
      <c r="O13" s="4"/>
      <c r="P13" s="9">
        <v>1</v>
      </c>
      <c r="Q13"/>
      <c r="R13" s="2"/>
      <c r="S13" s="2"/>
      <c r="T13" s="9">
        <v>1</v>
      </c>
      <c r="U13"/>
      <c r="V13" s="2"/>
      <c r="W13" s="2"/>
      <c r="X13" s="2"/>
      <c r="Y13" s="2"/>
      <c r="Z13" s="2"/>
      <c r="AA13" s="3">
        <v>1</v>
      </c>
      <c r="AB13"/>
      <c r="AC13" s="2"/>
      <c r="AD13" s="2"/>
      <c r="AE13"/>
      <c r="AF13"/>
      <c r="AG13" s="2"/>
      <c r="AH13" s="4"/>
      <c r="AI13"/>
      <c r="AJ13" s="9">
        <v>1</v>
      </c>
      <c r="AK13"/>
      <c r="AL13"/>
      <c r="AM13"/>
      <c r="AN13"/>
      <c r="AO13"/>
      <c r="AP13"/>
      <c r="AQ13"/>
      <c r="AR13"/>
      <c r="AS13"/>
      <c r="AT13"/>
    </row>
    <row r="14" spans="2:46" hidden="1" outlineLevel="1" x14ac:dyDescent="0.25">
      <c r="E14" s="31"/>
      <c r="G14" s="2"/>
      <c r="H14" s="2"/>
      <c r="I14" s="2"/>
      <c r="J14" s="2"/>
      <c r="K14" s="2"/>
      <c r="L14" s="2"/>
      <c r="M14"/>
      <c r="N14" s="2"/>
      <c r="O14" s="2"/>
      <c r="P14" s="2"/>
      <c r="Q14"/>
      <c r="R14" s="2"/>
      <c r="S14" s="2"/>
      <c r="T14" s="2"/>
      <c r="U14"/>
      <c r="V14" s="2"/>
      <c r="W14" s="2"/>
      <c r="X14" s="2"/>
      <c r="Y14" s="2"/>
      <c r="Z14" s="2"/>
      <c r="AA14" s="2"/>
      <c r="AB14"/>
      <c r="AC14" s="2"/>
      <c r="AD14" s="2"/>
      <c r="AE14" s="2"/>
      <c r="AF14" s="35">
        <v>360</v>
      </c>
      <c r="AG14" s="2"/>
      <c r="AH14" s="2"/>
      <c r="AI14" s="2"/>
      <c r="AJ14"/>
      <c r="AK14"/>
      <c r="AL14"/>
      <c r="AM14"/>
      <c r="AN14"/>
      <c r="AO14"/>
      <c r="AP14"/>
      <c r="AQ14"/>
      <c r="AR14"/>
      <c r="AS14"/>
      <c r="AT14"/>
    </row>
    <row r="15" spans="2:46" hidden="1" outlineLevel="1" x14ac:dyDescent="0.25">
      <c r="E15" s="31"/>
      <c r="G15" s="4"/>
      <c r="H15" s="4"/>
      <c r="I15" s="4"/>
      <c r="J15" s="4"/>
      <c r="K15" s="2"/>
      <c r="L15" s="2"/>
      <c r="M15"/>
      <c r="N15" s="2"/>
      <c r="O15" s="2"/>
      <c r="P15" s="2"/>
      <c r="Q15"/>
      <c r="R15" s="2"/>
      <c r="S15" s="2"/>
      <c r="T15" s="2"/>
      <c r="U15"/>
      <c r="V15" s="2"/>
      <c r="W15" s="2"/>
      <c r="X15" s="2"/>
      <c r="Y15" s="2"/>
      <c r="Z15" s="2"/>
      <c r="AA15" s="2"/>
      <c r="AB15"/>
      <c r="AC15" s="4"/>
      <c r="AD15" s="2"/>
      <c r="AE15" s="2"/>
      <c r="AF15" s="2" t="s">
        <v>67</v>
      </c>
      <c r="AG15" s="2"/>
      <c r="AH15" s="2"/>
      <c r="AI15" s="2"/>
      <c r="AJ15"/>
      <c r="AK15"/>
      <c r="AL15"/>
      <c r="AM15"/>
      <c r="AN15"/>
      <c r="AO15"/>
      <c r="AP15"/>
      <c r="AQ15"/>
      <c r="AR15"/>
      <c r="AS15"/>
      <c r="AT15"/>
    </row>
    <row r="16" spans="2:46" hidden="1" outlineLevel="1" x14ac:dyDescent="0.25">
      <c r="G16" s="2"/>
      <c r="H16" s="2"/>
      <c r="I16" s="2"/>
      <c r="J16" s="2"/>
      <c r="K16" s="2"/>
      <c r="L16" s="2"/>
      <c r="M16"/>
      <c r="N16" s="2"/>
      <c r="O16" s="2"/>
      <c r="P16" s="2"/>
      <c r="Q16"/>
      <c r="R16" s="2"/>
      <c r="S16" s="2"/>
      <c r="T16" s="2"/>
      <c r="U16"/>
      <c r="V16" s="2"/>
      <c r="W16" s="2"/>
      <c r="X16" s="2"/>
      <c r="Y16" s="2"/>
      <c r="Z16" s="2"/>
      <c r="AA16" s="2"/>
      <c r="AB16"/>
      <c r="AC16" s="2"/>
      <c r="AD16" s="2"/>
      <c r="AE16" s="2"/>
      <c r="AF16"/>
      <c r="AG16" s="2"/>
      <c r="AH16" s="2"/>
      <c r="AI16" s="2"/>
      <c r="AJ16"/>
      <c r="AK16"/>
      <c r="AL16"/>
      <c r="AM16"/>
      <c r="AN16"/>
      <c r="AO16"/>
      <c r="AP16"/>
      <c r="AQ16"/>
      <c r="AR16"/>
      <c r="AS16"/>
      <c r="AT16"/>
    </row>
    <row r="17" spans="1:46" ht="15" customHeight="1" collapsed="1" x14ac:dyDescent="0.25">
      <c r="B17" s="75" t="s">
        <v>3</v>
      </c>
      <c r="C17" s="76"/>
      <c r="D17" s="24"/>
      <c r="E17" s="75" t="s">
        <v>54</v>
      </c>
      <c r="F17" s="24"/>
      <c r="G17" s="66" t="s">
        <v>25</v>
      </c>
      <c r="H17" s="69"/>
      <c r="I17" s="69"/>
      <c r="J17" s="69"/>
      <c r="K17" s="69"/>
      <c r="L17" s="70"/>
      <c r="M17" s="5"/>
      <c r="N17" s="66" t="s">
        <v>24</v>
      </c>
      <c r="O17" s="69"/>
      <c r="P17" s="70"/>
      <c r="Q17" s="5"/>
      <c r="R17" s="66" t="s">
        <v>4</v>
      </c>
      <c r="S17" s="69"/>
      <c r="T17" s="70"/>
      <c r="U17" s="39"/>
      <c r="V17" s="66" t="s">
        <v>5</v>
      </c>
      <c r="W17" s="69"/>
      <c r="X17" s="69"/>
      <c r="Y17" s="69"/>
      <c r="Z17" s="69"/>
      <c r="AA17" s="70"/>
      <c r="AB17" s="39"/>
      <c r="AC17" s="67" t="s">
        <v>6</v>
      </c>
      <c r="AD17" s="74"/>
      <c r="AE17" s="74"/>
      <c r="AF17" s="74"/>
      <c r="AG17" s="74"/>
      <c r="AH17" s="74"/>
      <c r="AI17" s="74"/>
      <c r="AJ17" s="74"/>
      <c r="AK17"/>
      <c r="AL17"/>
      <c r="AM17"/>
      <c r="AN17"/>
      <c r="AO17"/>
      <c r="AP17"/>
      <c r="AQ17"/>
      <c r="AR17"/>
      <c r="AS17"/>
      <c r="AT17"/>
    </row>
    <row r="18" spans="1:46" x14ac:dyDescent="0.25">
      <c r="B18" s="76"/>
      <c r="C18" s="76"/>
      <c r="D18" s="30"/>
      <c r="E18" s="76"/>
      <c r="F18" s="30"/>
      <c r="G18" s="71"/>
      <c r="H18" s="72"/>
      <c r="I18" s="72"/>
      <c r="J18" s="72"/>
      <c r="K18" s="72"/>
      <c r="L18" s="73"/>
      <c r="M18" s="42"/>
      <c r="N18" s="71"/>
      <c r="O18" s="72"/>
      <c r="P18" s="73"/>
      <c r="Q18" s="42"/>
      <c r="R18" s="71"/>
      <c r="S18" s="72"/>
      <c r="T18" s="73"/>
      <c r="U18" s="43"/>
      <c r="V18" s="71"/>
      <c r="W18" s="72"/>
      <c r="X18" s="72"/>
      <c r="Y18" s="72"/>
      <c r="Z18" s="72"/>
      <c r="AA18" s="73"/>
      <c r="AB18" s="43"/>
      <c r="AC18" s="74"/>
      <c r="AD18" s="74"/>
      <c r="AE18" s="74"/>
      <c r="AF18" s="74"/>
      <c r="AG18" s="74"/>
      <c r="AH18" s="74"/>
      <c r="AI18" s="74"/>
      <c r="AJ18" s="74"/>
      <c r="AK18"/>
      <c r="AL18"/>
      <c r="AM18"/>
      <c r="AN18"/>
      <c r="AO18"/>
      <c r="AP18"/>
      <c r="AQ18"/>
      <c r="AR18"/>
      <c r="AS18"/>
      <c r="AT18"/>
    </row>
    <row r="19" spans="1:46" ht="25.5" x14ac:dyDescent="0.25">
      <c r="A19" s="23"/>
      <c r="B19" s="27" t="s">
        <v>7</v>
      </c>
      <c r="C19" s="27" t="s">
        <v>8</v>
      </c>
      <c r="D19" s="28"/>
      <c r="E19" s="29" t="s">
        <v>9</v>
      </c>
      <c r="F19" s="28"/>
      <c r="G19" s="10" t="s">
        <v>59</v>
      </c>
      <c r="H19" s="10" t="s">
        <v>60</v>
      </c>
      <c r="I19" s="10" t="s">
        <v>61</v>
      </c>
      <c r="J19" s="10" t="s">
        <v>62</v>
      </c>
      <c r="K19" s="10" t="s">
        <v>13</v>
      </c>
      <c r="L19" s="10" t="s">
        <v>14</v>
      </c>
      <c r="M19" s="44"/>
      <c r="N19" s="11" t="s">
        <v>15</v>
      </c>
      <c r="O19" s="10" t="s">
        <v>13</v>
      </c>
      <c r="P19" s="10" t="s">
        <v>14</v>
      </c>
      <c r="Q19" s="44"/>
      <c r="R19" s="11" t="s">
        <v>15</v>
      </c>
      <c r="S19" s="10" t="s">
        <v>13</v>
      </c>
      <c r="T19" s="10" t="s">
        <v>14</v>
      </c>
      <c r="U19" s="44"/>
      <c r="V19" s="10" t="s">
        <v>63</v>
      </c>
      <c r="W19" s="10" t="s">
        <v>64</v>
      </c>
      <c r="X19" s="10" t="s">
        <v>65</v>
      </c>
      <c r="Y19" s="10" t="s">
        <v>66</v>
      </c>
      <c r="Z19" s="10" t="s">
        <v>13</v>
      </c>
      <c r="AA19" s="10" t="s">
        <v>14</v>
      </c>
      <c r="AB19" s="44"/>
      <c r="AC19" s="10" t="s">
        <v>10</v>
      </c>
      <c r="AD19" s="10" t="s">
        <v>11</v>
      </c>
      <c r="AE19" s="10" t="s">
        <v>12</v>
      </c>
      <c r="AF19" s="11" t="s">
        <v>15</v>
      </c>
      <c r="AG19" s="10" t="s">
        <v>16</v>
      </c>
      <c r="AH19" s="10" t="s">
        <v>12</v>
      </c>
      <c r="AI19" s="10" t="s">
        <v>13</v>
      </c>
      <c r="AJ19" s="10" t="s">
        <v>14</v>
      </c>
      <c r="AK19"/>
      <c r="AL19"/>
      <c r="AM19"/>
      <c r="AN19"/>
      <c r="AO19"/>
      <c r="AP19"/>
      <c r="AQ19"/>
      <c r="AR19"/>
      <c r="AS19"/>
      <c r="AT19"/>
    </row>
    <row r="20" spans="1:46" x14ac:dyDescent="0.25">
      <c r="A20" s="23"/>
      <c r="B20" s="24">
        <f>RANK(C20,C$20:C$22,0)</f>
        <v>1</v>
      </c>
      <c r="C20" s="24">
        <f>SUMIF($G$13:$AJ$13,1,$G20:$AJ20)</f>
        <v>495</v>
      </c>
      <c r="D20" s="25"/>
      <c r="E20" s="34" t="s">
        <v>87</v>
      </c>
      <c r="F20" s="25"/>
      <c r="G20" s="5">
        <v>115</v>
      </c>
      <c r="H20" s="5">
        <v>0</v>
      </c>
      <c r="I20" s="5">
        <v>110</v>
      </c>
      <c r="J20" s="5">
        <f>G20+H20+I20</f>
        <v>225</v>
      </c>
      <c r="K20" s="5">
        <f>RANK(J20,J$20:J$22,0)</f>
        <v>2</v>
      </c>
      <c r="L20" s="5">
        <f>VLOOKUP(K20,'Место-баллы'!$A$3:$B$52,2,0)</f>
        <v>95</v>
      </c>
      <c r="M20" s="45"/>
      <c r="N20" s="5">
        <f>23+41+41</f>
        <v>105</v>
      </c>
      <c r="O20" s="5">
        <f>RANK(N20,N$20:N$22,0)</f>
        <v>1</v>
      </c>
      <c r="P20" s="5">
        <f>VLOOKUP(O20,'Место-баллы'!$A$3:$B$52,2,0)</f>
        <v>100</v>
      </c>
      <c r="Q20" s="45"/>
      <c r="R20" s="5">
        <v>268</v>
      </c>
      <c r="S20" s="5">
        <f>RANK(R20,R$20:R$22,0)</f>
        <v>1</v>
      </c>
      <c r="T20" s="5">
        <f>VLOOKUP(S20,'Место-баллы'!$A$3:$B$52,2,0)</f>
        <v>100</v>
      </c>
      <c r="U20" s="45"/>
      <c r="V20" s="5">
        <v>26</v>
      </c>
      <c r="W20" s="5">
        <v>34</v>
      </c>
      <c r="X20" s="5">
        <v>22</v>
      </c>
      <c r="Y20" s="5">
        <f>V20+W20+X20</f>
        <v>82</v>
      </c>
      <c r="Z20" s="5">
        <f>RANK(Y20,Y$20:Y$22,0)</f>
        <v>1</v>
      </c>
      <c r="AA20" s="5">
        <f>VLOOKUP(Z20,'Место-баллы'!$A$3:$B$52,2,0)</f>
        <v>100</v>
      </c>
      <c r="AB20" s="45"/>
      <c r="AC20" s="5">
        <v>8</v>
      </c>
      <c r="AD20" s="5">
        <v>28</v>
      </c>
      <c r="AE20" s="17">
        <f>TIME(0,AC20,AD20)</f>
        <v>5.8796296296296296E-3</v>
      </c>
      <c r="AF20" s="5">
        <v>360</v>
      </c>
      <c r="AG20" s="5">
        <f>AF$14-AF20</f>
        <v>0</v>
      </c>
      <c r="AH20" s="17">
        <f>AE20+TIME(0,0,AG20)</f>
        <v>5.8796296296296296E-3</v>
      </c>
      <c r="AI20" s="5">
        <f>RANK(AH20,AH$20:AH$22,1)</f>
        <v>1</v>
      </c>
      <c r="AJ20" s="5">
        <f>VLOOKUP(AI20,'Место-баллы'!$A$3:$B$52,2,0)</f>
        <v>100</v>
      </c>
      <c r="AK20"/>
      <c r="AL20"/>
      <c r="AM20"/>
      <c r="AN20"/>
      <c r="AO20"/>
      <c r="AP20"/>
      <c r="AQ20"/>
      <c r="AR20"/>
      <c r="AS20"/>
      <c r="AT20"/>
    </row>
    <row r="21" spans="1:46" x14ac:dyDescent="0.25">
      <c r="A21" s="23"/>
      <c r="B21" s="24">
        <f>RANK(C21,C$20:C$22,0)</f>
        <v>2</v>
      </c>
      <c r="C21" s="24">
        <f>SUMIF($G$13:$AJ$13,1,$G21:$AJ21)</f>
        <v>470</v>
      </c>
      <c r="D21" s="25"/>
      <c r="E21" s="34" t="s">
        <v>88</v>
      </c>
      <c r="F21" s="25"/>
      <c r="G21" s="5">
        <v>100</v>
      </c>
      <c r="H21" s="5">
        <v>100</v>
      </c>
      <c r="I21" s="5">
        <v>100</v>
      </c>
      <c r="J21" s="5">
        <f>G21+H21+I21</f>
        <v>300</v>
      </c>
      <c r="K21" s="5">
        <f>RANK(J21,J$20:J$22,0)</f>
        <v>1</v>
      </c>
      <c r="L21" s="5">
        <f>VLOOKUP(K21,'Место-баллы'!$A$3:$B$52,2,0)</f>
        <v>100</v>
      </c>
      <c r="M21" s="45"/>
      <c r="N21" s="5">
        <f>20+31+30</f>
        <v>81</v>
      </c>
      <c r="O21" s="5">
        <f>RANK(N21,N$20:N$22,0)</f>
        <v>3</v>
      </c>
      <c r="P21" s="5">
        <f>VLOOKUP(O21,'Место-баллы'!$A$3:$B$52,2,0)</f>
        <v>90</v>
      </c>
      <c r="Q21" s="45"/>
      <c r="R21" s="5">
        <v>165</v>
      </c>
      <c r="S21" s="5">
        <f>RANK(R21,R$20:R$22,0)</f>
        <v>3</v>
      </c>
      <c r="T21" s="5">
        <f>VLOOKUP(S21,'Место-баллы'!$A$3:$B$52,2,0)</f>
        <v>90</v>
      </c>
      <c r="U21" s="45"/>
      <c r="V21" s="5">
        <v>22</v>
      </c>
      <c r="W21" s="5">
        <v>23</v>
      </c>
      <c r="X21" s="5">
        <v>11</v>
      </c>
      <c r="Y21" s="5">
        <f>V21+W21+X21</f>
        <v>56</v>
      </c>
      <c r="Z21" s="5">
        <f>RANK(Y21,Y$20:Y$22,0)</f>
        <v>2</v>
      </c>
      <c r="AA21" s="5">
        <f>VLOOKUP(Z21,'Место-баллы'!$A$3:$B$52,2,0)</f>
        <v>95</v>
      </c>
      <c r="AB21" s="45"/>
      <c r="AC21" s="5">
        <v>10</v>
      </c>
      <c r="AD21" s="5">
        <v>5</v>
      </c>
      <c r="AE21" s="17">
        <f>TIME(0,AC21,AD21)</f>
        <v>7.0023148148148154E-3</v>
      </c>
      <c r="AF21" s="5">
        <v>332</v>
      </c>
      <c r="AG21" s="5">
        <f>AF$14-AF21</f>
        <v>28</v>
      </c>
      <c r="AH21" s="17">
        <f>AE21+TIME(0,0,AG21)</f>
        <v>7.3263888888888892E-3</v>
      </c>
      <c r="AI21" s="5">
        <f>RANK(AH21,AH$20:AH$22,1)</f>
        <v>2</v>
      </c>
      <c r="AJ21" s="5">
        <f>VLOOKUP(AI21,'Место-баллы'!$A$3:$B$52,2,0)</f>
        <v>95</v>
      </c>
      <c r="AK21"/>
      <c r="AL21"/>
      <c r="AM21"/>
      <c r="AN21"/>
      <c r="AO21"/>
      <c r="AP21"/>
      <c r="AQ21"/>
      <c r="AR21"/>
      <c r="AS21"/>
      <c r="AT21"/>
    </row>
    <row r="22" spans="1:46" x14ac:dyDescent="0.25">
      <c r="A22" s="23"/>
      <c r="B22" s="24">
        <f>RANK(C22,C$20:C$22,0)</f>
        <v>3</v>
      </c>
      <c r="C22" s="24">
        <f>SUMIF($G$13:$AJ$13,1,$G22:$AJ22)</f>
        <v>460</v>
      </c>
      <c r="D22" s="25"/>
      <c r="E22" s="34" t="s">
        <v>86</v>
      </c>
      <c r="F22" s="25"/>
      <c r="G22" s="5">
        <v>70</v>
      </c>
      <c r="H22" s="5">
        <v>65</v>
      </c>
      <c r="I22" s="5">
        <v>60</v>
      </c>
      <c r="J22" s="5">
        <f>G22+H22+I22</f>
        <v>195</v>
      </c>
      <c r="K22" s="5">
        <f>RANK(J22,J$20:J$22,0)</f>
        <v>3</v>
      </c>
      <c r="L22" s="5">
        <f>VLOOKUP(K22,'Место-баллы'!$A$3:$B$52,2,0)</f>
        <v>90</v>
      </c>
      <c r="M22" s="45"/>
      <c r="N22" s="5">
        <f>29+33+38</f>
        <v>100</v>
      </c>
      <c r="O22" s="5">
        <f>RANK(N22,N$20:N$22,0)</f>
        <v>2</v>
      </c>
      <c r="P22" s="5">
        <f>VLOOKUP(O22,'Место-баллы'!$A$3:$B$52,2,0)</f>
        <v>95</v>
      </c>
      <c r="Q22" s="45"/>
      <c r="R22" s="5">
        <v>184</v>
      </c>
      <c r="S22" s="5">
        <f>RANK(R22,R$20:R$22,0)</f>
        <v>2</v>
      </c>
      <c r="T22" s="5">
        <f>VLOOKUP(S22,'Место-баллы'!$A$3:$B$52,2,0)</f>
        <v>95</v>
      </c>
      <c r="U22" s="45"/>
      <c r="V22" s="5">
        <v>17</v>
      </c>
      <c r="W22" s="5">
        <v>17</v>
      </c>
      <c r="X22" s="5">
        <v>13</v>
      </c>
      <c r="Y22" s="5">
        <f>V22+W22+X22</f>
        <v>47</v>
      </c>
      <c r="Z22" s="5">
        <f>RANK(Y22,Y$20:Y$22,0)</f>
        <v>3</v>
      </c>
      <c r="AA22" s="5">
        <f>VLOOKUP(Z22,'Место-баллы'!$A$3:$B$52,2,0)</f>
        <v>90</v>
      </c>
      <c r="AB22" s="45"/>
      <c r="AC22" s="5">
        <v>10</v>
      </c>
      <c r="AD22" s="5">
        <v>5</v>
      </c>
      <c r="AE22" s="17">
        <f>TIME(0,AC22,AD22)</f>
        <v>7.0023148148148154E-3</v>
      </c>
      <c r="AF22" s="5">
        <v>120</v>
      </c>
      <c r="AG22" s="5">
        <f>AF$14-AF22</f>
        <v>240</v>
      </c>
      <c r="AH22" s="17">
        <f>AE22+TIME(0,0,AG22)</f>
        <v>9.7800925925925937E-3</v>
      </c>
      <c r="AI22" s="5">
        <f>RANK(AH22,AH$20:AH$22,1)</f>
        <v>3</v>
      </c>
      <c r="AJ22" s="5">
        <f>VLOOKUP(AI22,'Место-баллы'!$A$3:$B$52,2,0)</f>
        <v>90</v>
      </c>
      <c r="AK22"/>
      <c r="AL22"/>
      <c r="AM22"/>
      <c r="AN22"/>
      <c r="AO22"/>
      <c r="AP22"/>
      <c r="AQ22"/>
      <c r="AR22"/>
      <c r="AS22"/>
      <c r="AT22"/>
    </row>
    <row r="23" spans="1:46" ht="15.75" customHeight="1" x14ac:dyDescent="0.25">
      <c r="A23" s="23"/>
    </row>
    <row r="24" spans="1:46" ht="15.75" customHeight="1" x14ac:dyDescent="0.25">
      <c r="A24" s="23"/>
    </row>
    <row r="25" spans="1:46" ht="15.75" customHeight="1" outlineLevel="1" x14ac:dyDescent="0.35">
      <c r="A25" s="23"/>
      <c r="B25" s="52" t="s">
        <v>22</v>
      </c>
      <c r="C25" s="52"/>
      <c r="D25" s="52"/>
      <c r="E25" s="52"/>
      <c r="F25" s="52"/>
      <c r="G25" s="52"/>
      <c r="H25" s="52"/>
      <c r="I25" s="52"/>
    </row>
    <row r="26" spans="1:46" ht="15.75" customHeight="1" outlineLevel="1" x14ac:dyDescent="0.25">
      <c r="B26" s="22"/>
      <c r="C26" s="22"/>
      <c r="D26" s="22"/>
      <c r="E26" s="22"/>
    </row>
    <row r="27" spans="1:46" ht="15.75" customHeight="1" outlineLevel="1" x14ac:dyDescent="0.35">
      <c r="B27" s="52" t="s">
        <v>23</v>
      </c>
      <c r="C27" s="52"/>
      <c r="D27" s="52"/>
      <c r="E27" s="52"/>
      <c r="F27" s="52"/>
      <c r="G27" s="52"/>
      <c r="H27" s="52"/>
      <c r="I27" s="52"/>
    </row>
    <row r="28" spans="1:46" ht="15.75" customHeight="1" x14ac:dyDescent="0.25"/>
    <row r="29" spans="1:46" ht="15.75" customHeight="1" x14ac:dyDescent="0.25"/>
    <row r="30" spans="1:46" ht="15.75" customHeight="1" x14ac:dyDescent="0.25"/>
    <row r="31" spans="1:46" ht="15.75" customHeight="1" x14ac:dyDescent="0.25"/>
    <row r="32" spans="1:4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</sheetData>
  <autoFilter ref="B19:AJ19" xr:uid="{B1011964-7682-4E52-AA3D-21F3FBECFF6D}">
    <sortState ref="B20:AJ22">
      <sortCondition ref="B19"/>
    </sortState>
  </autoFilter>
  <mergeCells count="16">
    <mergeCell ref="B1:AJ1"/>
    <mergeCell ref="B2:AJ2"/>
    <mergeCell ref="B3:AJ3"/>
    <mergeCell ref="B4:AJ4"/>
    <mergeCell ref="B6:AJ6"/>
    <mergeCell ref="B17:C18"/>
    <mergeCell ref="E17:E18"/>
    <mergeCell ref="G17:L18"/>
    <mergeCell ref="B7:AJ7"/>
    <mergeCell ref="B8:AJ8"/>
    <mergeCell ref="B9:AJ9"/>
    <mergeCell ref="B11:AJ11"/>
    <mergeCell ref="N17:P18"/>
    <mergeCell ref="R17:T18"/>
    <mergeCell ref="V17:AA18"/>
    <mergeCell ref="AC17:AJ18"/>
  </mergeCells>
  <printOptions horizontalCentered="1" verticalCentered="1"/>
  <pageMargins left="0" right="0" top="0" bottom="0" header="0" footer="0"/>
  <pageSetup paperSize="9" scale="49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1E421-CD8A-4382-AF7B-3E826946F3D5}">
  <sheetPr>
    <pageSetUpPr fitToPage="1"/>
  </sheetPr>
  <dimension ref="A1:AT84"/>
  <sheetViews>
    <sheetView topLeftCell="A5" zoomScaleNormal="100" workbookViewId="0">
      <selection activeCell="O23" sqref="O23"/>
    </sheetView>
  </sheetViews>
  <sheetFormatPr defaultColWidth="14.42578125" defaultRowHeight="15" customHeight="1" outlineLevelRow="1" outlineLevelCol="1" x14ac:dyDescent="0.25"/>
  <cols>
    <col min="1" max="1" width="8.7109375" style="21" customWidth="1"/>
    <col min="2" max="2" width="9" style="21" customWidth="1"/>
    <col min="3" max="3" width="7.42578125" style="21" customWidth="1"/>
    <col min="4" max="4" width="1.42578125" style="21" customWidth="1"/>
    <col min="5" max="5" width="14" style="21" bestFit="1" customWidth="1"/>
    <col min="6" max="6" width="1.42578125" style="21" customWidth="1"/>
    <col min="7" max="9" width="5.5703125" style="21" hidden="1" customWidth="1" outlineLevel="1"/>
    <col min="10" max="10" width="7.85546875" style="21" bestFit="1" customWidth="1" collapsed="1"/>
    <col min="11" max="11" width="7.140625" style="21" bestFit="1" customWidth="1"/>
    <col min="12" max="12" width="6.85546875" style="21" bestFit="1" customWidth="1"/>
    <col min="13" max="13" width="1.42578125" style="21" customWidth="1"/>
    <col min="14" max="14" width="6.85546875" style="21" customWidth="1"/>
    <col min="15" max="15" width="7.140625" style="21" bestFit="1" customWidth="1"/>
    <col min="16" max="16" width="6.85546875" style="21" bestFit="1" customWidth="1"/>
    <col min="17" max="17" width="1.42578125" style="21" customWidth="1"/>
    <col min="18" max="18" width="6.85546875" style="21" customWidth="1"/>
    <col min="19" max="19" width="7.140625" style="21" bestFit="1" customWidth="1"/>
    <col min="20" max="20" width="6.85546875" style="21" bestFit="1" customWidth="1"/>
    <col min="21" max="21" width="1.42578125" style="21" customWidth="1"/>
    <col min="22" max="22" width="6.5703125" style="21" customWidth="1" outlineLevel="1"/>
    <col min="23" max="23" width="9.140625" style="21" customWidth="1" outlineLevel="1"/>
    <col min="24" max="24" width="6" style="21" customWidth="1" outlineLevel="1"/>
    <col min="25" max="25" width="7" style="21" bestFit="1" customWidth="1"/>
    <col min="26" max="26" width="7.140625" style="21" customWidth="1"/>
    <col min="27" max="27" width="6.85546875" style="21" customWidth="1"/>
    <col min="28" max="28" width="1.42578125" style="21" customWidth="1"/>
    <col min="29" max="29" width="5.140625" style="21" hidden="1" customWidth="1" outlineLevel="1"/>
    <col min="30" max="30" width="4.28515625" style="21" hidden="1" customWidth="1" outlineLevel="1"/>
    <col min="31" max="31" width="7.140625" style="21" bestFit="1" customWidth="1" collapsed="1"/>
    <col min="32" max="32" width="6.85546875" style="21" customWidth="1"/>
    <col min="33" max="33" width="7.85546875" style="21" hidden="1" customWidth="1" outlineLevel="1"/>
    <col min="34" max="34" width="7.140625" style="21" hidden="1" customWidth="1" outlineLevel="1"/>
    <col min="35" max="35" width="7.140625" style="21" bestFit="1" customWidth="1" collapsed="1"/>
    <col min="36" max="36" width="6.85546875" style="21" bestFit="1" customWidth="1"/>
    <col min="37" max="37" width="6.85546875" style="21" customWidth="1"/>
    <col min="38" max="38" width="7.140625" style="21" bestFit="1" customWidth="1"/>
    <col min="39" max="39" width="6.85546875" style="21" bestFit="1" customWidth="1"/>
    <col min="40" max="40" width="1.42578125" style="21" customWidth="1"/>
    <col min="41" max="41" width="6.85546875" style="21" customWidth="1"/>
    <col min="42" max="42" width="7.140625" style="21" bestFit="1" customWidth="1"/>
    <col min="43" max="43" width="6.85546875" style="21" bestFit="1" customWidth="1"/>
    <col min="44" max="16384" width="14.42578125" style="21"/>
  </cols>
  <sheetData>
    <row r="1" spans="2:46" ht="15" customHeight="1" outlineLevel="1" x14ac:dyDescent="0.25">
      <c r="B1" s="64" t="s">
        <v>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58"/>
      <c r="AL1" s="58"/>
      <c r="AM1" s="58"/>
      <c r="AN1" s="58"/>
      <c r="AO1" s="58"/>
      <c r="AP1" s="58"/>
      <c r="AQ1" s="58"/>
    </row>
    <row r="2" spans="2:46" ht="15" customHeight="1" outlineLevel="1" x14ac:dyDescent="0.25">
      <c r="B2" s="64" t="s">
        <v>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58"/>
      <c r="AL2" s="58"/>
      <c r="AM2" s="58"/>
      <c r="AN2" s="58"/>
      <c r="AO2" s="58"/>
      <c r="AP2" s="58"/>
      <c r="AQ2" s="58"/>
    </row>
    <row r="3" spans="2:46" ht="15" customHeight="1" outlineLevel="1" x14ac:dyDescent="0.25">
      <c r="B3" s="64" t="s">
        <v>21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58"/>
      <c r="AL3" s="58"/>
      <c r="AM3" s="58"/>
      <c r="AN3" s="58"/>
      <c r="AO3" s="58"/>
      <c r="AP3" s="58"/>
      <c r="AQ3" s="58"/>
    </row>
    <row r="4" spans="2:46" ht="15" customHeight="1" outlineLevel="1" x14ac:dyDescent="0.25">
      <c r="B4" s="65" t="s">
        <v>19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59"/>
      <c r="AL4" s="59"/>
      <c r="AM4" s="59"/>
      <c r="AN4" s="59"/>
      <c r="AO4" s="59"/>
      <c r="AP4" s="59"/>
      <c r="AQ4" s="59"/>
    </row>
    <row r="5" spans="2:46" ht="15" customHeight="1" outlineLevel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2:46" ht="18.75" customHeight="1" outlineLevel="1" x14ac:dyDescent="0.25">
      <c r="B6" s="62" t="s">
        <v>92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56"/>
      <c r="AL6" s="56"/>
      <c r="AM6" s="56"/>
      <c r="AN6" s="56"/>
      <c r="AO6" s="56"/>
      <c r="AP6" s="56"/>
      <c r="AQ6" s="56"/>
    </row>
    <row r="7" spans="2:46" ht="18.75" customHeight="1" outlineLevel="1" x14ac:dyDescent="0.25">
      <c r="B7" s="62" t="s">
        <v>93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56"/>
      <c r="AL7" s="56"/>
      <c r="AM7" s="56"/>
      <c r="AN7" s="56"/>
      <c r="AO7" s="56"/>
      <c r="AP7" s="56"/>
      <c r="AQ7" s="56"/>
    </row>
    <row r="8" spans="2:46" ht="18.75" customHeight="1" outlineLevel="1" x14ac:dyDescent="0.25">
      <c r="B8" s="77" t="s">
        <v>56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56"/>
      <c r="AL8" s="56"/>
      <c r="AM8" s="56"/>
      <c r="AN8" s="56"/>
      <c r="AO8" s="56"/>
      <c r="AP8" s="56"/>
      <c r="AQ8" s="56"/>
    </row>
    <row r="9" spans="2:46" ht="18.75" customHeight="1" outlineLevel="1" x14ac:dyDescent="0.25">
      <c r="B9" s="77" t="s">
        <v>58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56"/>
      <c r="AL9" s="56"/>
      <c r="AM9" s="56"/>
      <c r="AN9" s="56"/>
      <c r="AO9" s="56"/>
      <c r="AP9" s="56"/>
      <c r="AQ9" s="56"/>
    </row>
    <row r="10" spans="2:46" ht="15" customHeight="1" outlineLevel="1" x14ac:dyDescent="0.3">
      <c r="I10" s="32"/>
    </row>
    <row r="11" spans="2:46" ht="25.5" customHeight="1" outlineLevel="1" x14ac:dyDescent="0.25">
      <c r="B11" s="78" t="s">
        <v>20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57"/>
      <c r="AL11" s="57"/>
      <c r="AM11" s="57"/>
      <c r="AN11" s="57"/>
      <c r="AO11" s="57"/>
      <c r="AP11" s="57"/>
      <c r="AQ11" s="57"/>
    </row>
    <row r="12" spans="2:46" ht="15" customHeight="1" x14ac:dyDescent="0.25"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</row>
    <row r="13" spans="2:46" hidden="1" outlineLevel="1" x14ac:dyDescent="0.25">
      <c r="E13" s="31"/>
      <c r="G13" s="2"/>
      <c r="H13" s="2"/>
      <c r="I13" s="2"/>
      <c r="J13" s="2"/>
      <c r="K13" s="2"/>
      <c r="L13" s="3">
        <v>1</v>
      </c>
      <c r="M13"/>
      <c r="N13" s="2"/>
      <c r="O13" s="4"/>
      <c r="P13" s="9">
        <v>1</v>
      </c>
      <c r="Q13"/>
      <c r="R13" s="2"/>
      <c r="S13" s="2"/>
      <c r="T13" s="9">
        <v>1</v>
      </c>
      <c r="U13"/>
      <c r="V13" s="2"/>
      <c r="W13" s="2"/>
      <c r="X13" s="2"/>
      <c r="Y13" s="2"/>
      <c r="Z13" s="2"/>
      <c r="AA13" s="3">
        <v>1</v>
      </c>
      <c r="AB13"/>
      <c r="AC13" s="2"/>
      <c r="AD13" s="2"/>
      <c r="AE13"/>
      <c r="AF13"/>
      <c r="AG13" s="2"/>
      <c r="AH13" s="4"/>
      <c r="AI13"/>
      <c r="AJ13" s="9">
        <v>1</v>
      </c>
      <c r="AK13"/>
      <c r="AL13"/>
      <c r="AM13"/>
      <c r="AN13"/>
      <c r="AO13"/>
      <c r="AP13"/>
      <c r="AQ13"/>
      <c r="AR13"/>
      <c r="AS13"/>
      <c r="AT13"/>
    </row>
    <row r="14" spans="2:46" hidden="1" outlineLevel="1" x14ac:dyDescent="0.25">
      <c r="E14" s="31"/>
      <c r="G14" s="2"/>
      <c r="H14" s="2"/>
      <c r="I14" s="2"/>
      <c r="J14" s="2"/>
      <c r="K14" s="2"/>
      <c r="L14" s="2"/>
      <c r="M14"/>
      <c r="N14" s="2"/>
      <c r="O14" s="2"/>
      <c r="P14" s="2"/>
      <c r="Q14"/>
      <c r="R14" s="2"/>
      <c r="S14" s="2"/>
      <c r="T14" s="2"/>
      <c r="U14"/>
      <c r="V14" s="2"/>
      <c r="W14" s="2"/>
      <c r="X14" s="2"/>
      <c r="Y14" s="2"/>
      <c r="Z14" s="2"/>
      <c r="AA14" s="2"/>
      <c r="AB14"/>
      <c r="AC14" s="2"/>
      <c r="AD14" s="2"/>
      <c r="AE14" s="2"/>
      <c r="AF14" s="35">
        <v>360</v>
      </c>
      <c r="AG14" s="2"/>
      <c r="AH14" s="2"/>
      <c r="AI14" s="2"/>
      <c r="AJ14"/>
      <c r="AK14"/>
      <c r="AL14"/>
      <c r="AM14"/>
      <c r="AN14"/>
      <c r="AO14"/>
      <c r="AP14"/>
      <c r="AQ14"/>
      <c r="AR14"/>
      <c r="AS14"/>
      <c r="AT14"/>
    </row>
    <row r="15" spans="2:46" hidden="1" outlineLevel="1" x14ac:dyDescent="0.25">
      <c r="E15" s="31"/>
      <c r="G15" s="4"/>
      <c r="H15" s="4"/>
      <c r="I15" s="4"/>
      <c r="J15" s="4"/>
      <c r="K15" s="2"/>
      <c r="L15" s="2"/>
      <c r="M15"/>
      <c r="N15" s="2"/>
      <c r="O15" s="2"/>
      <c r="P15" s="2"/>
      <c r="Q15"/>
      <c r="R15" s="2"/>
      <c r="S15" s="2"/>
      <c r="T15" s="2"/>
      <c r="U15"/>
      <c r="V15" s="2"/>
      <c r="W15" s="2"/>
      <c r="X15" s="2"/>
      <c r="Y15" s="2"/>
      <c r="Z15" s="2"/>
      <c r="AA15" s="2"/>
      <c r="AB15"/>
      <c r="AC15" s="4"/>
      <c r="AD15" s="2"/>
      <c r="AE15" s="2"/>
      <c r="AF15" s="2" t="s">
        <v>67</v>
      </c>
      <c r="AG15" s="2"/>
      <c r="AH15" s="2"/>
      <c r="AI15" s="2"/>
      <c r="AJ15"/>
      <c r="AK15"/>
      <c r="AL15"/>
      <c r="AM15"/>
      <c r="AN15"/>
      <c r="AO15"/>
      <c r="AP15"/>
      <c r="AQ15"/>
      <c r="AR15"/>
      <c r="AS15"/>
      <c r="AT15"/>
    </row>
    <row r="16" spans="2:46" hidden="1" outlineLevel="1" x14ac:dyDescent="0.25">
      <c r="G16" s="2"/>
      <c r="H16" s="2"/>
      <c r="I16" s="2"/>
      <c r="J16" s="2"/>
      <c r="K16" s="2"/>
      <c r="L16" s="2"/>
      <c r="M16"/>
      <c r="N16" s="2"/>
      <c r="O16" s="2"/>
      <c r="P16" s="2"/>
      <c r="Q16"/>
      <c r="R16" s="2"/>
      <c r="S16" s="2"/>
      <c r="T16" s="2"/>
      <c r="U16"/>
      <c r="V16" s="2"/>
      <c r="W16" s="2"/>
      <c r="X16" s="2"/>
      <c r="Y16" s="2"/>
      <c r="Z16" s="2"/>
      <c r="AA16" s="2"/>
      <c r="AB16"/>
      <c r="AC16" s="2"/>
      <c r="AD16" s="2"/>
      <c r="AE16" s="2"/>
      <c r="AF16"/>
      <c r="AG16" s="2"/>
      <c r="AH16" s="2"/>
      <c r="AI16" s="2"/>
      <c r="AJ16"/>
      <c r="AK16"/>
      <c r="AL16"/>
      <c r="AM16"/>
      <c r="AN16"/>
      <c r="AO16"/>
      <c r="AP16"/>
      <c r="AQ16"/>
      <c r="AR16"/>
      <c r="AS16"/>
      <c r="AT16"/>
    </row>
    <row r="17" spans="1:46" ht="15" customHeight="1" collapsed="1" x14ac:dyDescent="0.25">
      <c r="B17" s="75" t="s">
        <v>3</v>
      </c>
      <c r="C17" s="76"/>
      <c r="D17" s="24"/>
      <c r="E17" s="75" t="s">
        <v>57</v>
      </c>
      <c r="F17" s="24"/>
      <c r="G17" s="66" t="s">
        <v>25</v>
      </c>
      <c r="H17" s="69"/>
      <c r="I17" s="69"/>
      <c r="J17" s="69"/>
      <c r="K17" s="69"/>
      <c r="L17" s="70"/>
      <c r="M17" s="5"/>
      <c r="N17" s="66" t="s">
        <v>24</v>
      </c>
      <c r="O17" s="69"/>
      <c r="P17" s="70"/>
      <c r="Q17" s="5"/>
      <c r="R17" s="66" t="s">
        <v>4</v>
      </c>
      <c r="S17" s="69"/>
      <c r="T17" s="70"/>
      <c r="U17" s="39"/>
      <c r="V17" s="66" t="s">
        <v>5</v>
      </c>
      <c r="W17" s="69"/>
      <c r="X17" s="69"/>
      <c r="Y17" s="69"/>
      <c r="Z17" s="69"/>
      <c r="AA17" s="70"/>
      <c r="AB17" s="39"/>
      <c r="AC17" s="67" t="s">
        <v>6</v>
      </c>
      <c r="AD17" s="74"/>
      <c r="AE17" s="74"/>
      <c r="AF17" s="74"/>
      <c r="AG17" s="74"/>
      <c r="AH17" s="74"/>
      <c r="AI17" s="74"/>
      <c r="AJ17" s="74"/>
      <c r="AK17"/>
      <c r="AL17"/>
      <c r="AM17"/>
      <c r="AN17"/>
      <c r="AO17"/>
      <c r="AP17"/>
      <c r="AQ17"/>
      <c r="AR17"/>
      <c r="AS17"/>
      <c r="AT17"/>
    </row>
    <row r="18" spans="1:46" x14ac:dyDescent="0.25">
      <c r="B18" s="76"/>
      <c r="C18" s="76"/>
      <c r="D18" s="30"/>
      <c r="E18" s="76"/>
      <c r="F18" s="30"/>
      <c r="G18" s="71"/>
      <c r="H18" s="72"/>
      <c r="I18" s="72"/>
      <c r="J18" s="72"/>
      <c r="K18" s="72"/>
      <c r="L18" s="73"/>
      <c r="M18" s="42"/>
      <c r="N18" s="71"/>
      <c r="O18" s="72"/>
      <c r="P18" s="73"/>
      <c r="Q18" s="42"/>
      <c r="R18" s="71"/>
      <c r="S18" s="72"/>
      <c r="T18" s="73"/>
      <c r="U18" s="43"/>
      <c r="V18" s="71"/>
      <c r="W18" s="72"/>
      <c r="X18" s="72"/>
      <c r="Y18" s="72"/>
      <c r="Z18" s="72"/>
      <c r="AA18" s="73"/>
      <c r="AB18" s="43"/>
      <c r="AC18" s="74"/>
      <c r="AD18" s="74"/>
      <c r="AE18" s="74"/>
      <c r="AF18" s="74"/>
      <c r="AG18" s="74"/>
      <c r="AH18" s="74"/>
      <c r="AI18" s="74"/>
      <c r="AJ18" s="74"/>
      <c r="AK18"/>
      <c r="AL18"/>
      <c r="AM18"/>
      <c r="AN18"/>
      <c r="AO18"/>
      <c r="AP18"/>
      <c r="AQ18"/>
      <c r="AR18"/>
      <c r="AS18"/>
      <c r="AT18"/>
    </row>
    <row r="19" spans="1:46" ht="25.5" x14ac:dyDescent="0.25">
      <c r="A19" s="23"/>
      <c r="B19" s="27" t="s">
        <v>7</v>
      </c>
      <c r="C19" s="27" t="s">
        <v>8</v>
      </c>
      <c r="D19" s="28"/>
      <c r="E19" s="29" t="s">
        <v>9</v>
      </c>
      <c r="F19" s="28"/>
      <c r="G19" s="10" t="s">
        <v>59</v>
      </c>
      <c r="H19" s="10" t="s">
        <v>60</v>
      </c>
      <c r="I19" s="10" t="s">
        <v>61</v>
      </c>
      <c r="J19" s="10" t="s">
        <v>62</v>
      </c>
      <c r="K19" s="10" t="s">
        <v>13</v>
      </c>
      <c r="L19" s="10" t="s">
        <v>14</v>
      </c>
      <c r="M19" s="44"/>
      <c r="N19" s="11" t="s">
        <v>15</v>
      </c>
      <c r="O19" s="10" t="s">
        <v>13</v>
      </c>
      <c r="P19" s="10" t="s">
        <v>14</v>
      </c>
      <c r="Q19" s="44"/>
      <c r="R19" s="11" t="s">
        <v>15</v>
      </c>
      <c r="S19" s="10" t="s">
        <v>13</v>
      </c>
      <c r="T19" s="10" t="s">
        <v>14</v>
      </c>
      <c r="U19" s="44"/>
      <c r="V19" s="10" t="s">
        <v>63</v>
      </c>
      <c r="W19" s="10" t="s">
        <v>64</v>
      </c>
      <c r="X19" s="10" t="s">
        <v>65</v>
      </c>
      <c r="Y19" s="10" t="s">
        <v>66</v>
      </c>
      <c r="Z19" s="10" t="s">
        <v>13</v>
      </c>
      <c r="AA19" s="10" t="s">
        <v>14</v>
      </c>
      <c r="AB19" s="44"/>
      <c r="AC19" s="10" t="s">
        <v>10</v>
      </c>
      <c r="AD19" s="10" t="s">
        <v>11</v>
      </c>
      <c r="AE19" s="10" t="s">
        <v>12</v>
      </c>
      <c r="AF19" s="11" t="s">
        <v>15</v>
      </c>
      <c r="AG19" s="10" t="s">
        <v>16</v>
      </c>
      <c r="AH19" s="10" t="s">
        <v>12</v>
      </c>
      <c r="AI19" s="10" t="s">
        <v>13</v>
      </c>
      <c r="AJ19" s="10" t="s">
        <v>14</v>
      </c>
      <c r="AK19"/>
      <c r="AL19"/>
      <c r="AM19"/>
      <c r="AN19"/>
      <c r="AO19"/>
      <c r="AP19"/>
      <c r="AQ19"/>
      <c r="AR19"/>
      <c r="AS19"/>
      <c r="AT19"/>
    </row>
    <row r="20" spans="1:46" x14ac:dyDescent="0.25">
      <c r="A20" s="23"/>
      <c r="B20" s="24">
        <f>RANK(C20,C$20:C$20,0)</f>
        <v>1</v>
      </c>
      <c r="C20" s="24">
        <f>SUMIF($G$13:$AJ$13,1,$G20:$AJ20)</f>
        <v>500</v>
      </c>
      <c r="D20" s="25"/>
      <c r="E20" s="26" t="s">
        <v>89</v>
      </c>
      <c r="F20" s="25"/>
      <c r="G20" s="5">
        <v>0</v>
      </c>
      <c r="H20" s="5">
        <v>0</v>
      </c>
      <c r="I20" s="5">
        <v>0</v>
      </c>
      <c r="J20" s="5">
        <f>G20+H20+I20</f>
        <v>0</v>
      </c>
      <c r="K20" s="5">
        <f>RANK(J20,J$20:J$20,0)</f>
        <v>1</v>
      </c>
      <c r="L20" s="5">
        <f>VLOOKUP(K20,'Место-баллы'!$A$3:$B$52,2,0)</f>
        <v>100</v>
      </c>
      <c r="M20" s="45"/>
      <c r="N20" s="5">
        <f>20+43+52</f>
        <v>115</v>
      </c>
      <c r="O20" s="5">
        <f>RANK(N20,N$20:N$20,0)</f>
        <v>1</v>
      </c>
      <c r="P20" s="5">
        <f>VLOOKUP(O20,'Место-баллы'!$A$3:$B$52,2,0)</f>
        <v>100</v>
      </c>
      <c r="Q20" s="45"/>
      <c r="R20" s="5">
        <f>228+5</f>
        <v>233</v>
      </c>
      <c r="S20" s="5">
        <f>RANK(R20,R$20:R$20,0)</f>
        <v>1</v>
      </c>
      <c r="T20" s="5">
        <f>VLOOKUP(S20,'Место-баллы'!$A$3:$B$52,2,0)</f>
        <v>100</v>
      </c>
      <c r="U20" s="45"/>
      <c r="V20" s="5">
        <v>25</v>
      </c>
      <c r="W20" s="5">
        <v>16</v>
      </c>
      <c r="X20" s="5">
        <v>18</v>
      </c>
      <c r="Y20" s="5">
        <f>V20+W20+X20</f>
        <v>59</v>
      </c>
      <c r="Z20" s="5">
        <f>RANK(Y20,Y$20:Y$20,0)</f>
        <v>1</v>
      </c>
      <c r="AA20" s="5">
        <f>VLOOKUP(Z20,'Место-баллы'!$A$3:$B$52,2,0)</f>
        <v>100</v>
      </c>
      <c r="AB20" s="45"/>
      <c r="AC20" s="5">
        <v>10</v>
      </c>
      <c r="AD20" s="5">
        <v>5</v>
      </c>
      <c r="AE20" s="17">
        <f>TIME(0,AC20,AD20)</f>
        <v>7.0023148148148154E-3</v>
      </c>
      <c r="AF20" s="5">
        <v>66</v>
      </c>
      <c r="AG20" s="5">
        <f>AF$14-AF20</f>
        <v>294</v>
      </c>
      <c r="AH20" s="17">
        <f>AE20+TIME(0,0,AG20)</f>
        <v>1.0405092592592594E-2</v>
      </c>
      <c r="AI20" s="5">
        <f>RANK(AH20,AH$20:AH$20,1)</f>
        <v>1</v>
      </c>
      <c r="AJ20" s="5">
        <f>VLOOKUP(AI20,'Место-баллы'!$A$3:$B$52,2,0)</f>
        <v>100</v>
      </c>
      <c r="AK20"/>
      <c r="AL20"/>
      <c r="AM20"/>
      <c r="AN20"/>
      <c r="AO20"/>
      <c r="AP20"/>
      <c r="AQ20"/>
      <c r="AR20"/>
      <c r="AS20"/>
      <c r="AT20"/>
    </row>
    <row r="21" spans="1:46" x14ac:dyDescent="0.25">
      <c r="A21" s="23"/>
      <c r="B21" s="53"/>
      <c r="C21" s="53"/>
      <c r="D21" s="54"/>
      <c r="E21" s="55"/>
      <c r="F21" s="54"/>
      <c r="G21" s="48"/>
      <c r="H21" s="48"/>
      <c r="I21" s="48"/>
      <c r="J21" s="48"/>
      <c r="K21" s="48"/>
      <c r="L21" s="48"/>
      <c r="M21" s="49"/>
      <c r="N21" s="48"/>
      <c r="O21" s="48"/>
      <c r="P21" s="48"/>
      <c r="Q21" s="49"/>
      <c r="R21" s="48"/>
      <c r="S21" s="48"/>
      <c r="T21" s="48"/>
      <c r="U21" s="49"/>
      <c r="V21" s="48"/>
      <c r="W21" s="48"/>
      <c r="X21" s="48"/>
      <c r="Y21" s="48"/>
      <c r="Z21" s="48"/>
      <c r="AA21" s="48"/>
      <c r="AB21" s="49"/>
      <c r="AC21" s="48"/>
      <c r="AD21" s="48"/>
      <c r="AE21" s="50"/>
      <c r="AF21" s="48"/>
      <c r="AG21" s="48"/>
      <c r="AH21" s="50"/>
      <c r="AI21" s="48"/>
      <c r="AJ21" s="48"/>
      <c r="AK21"/>
      <c r="AL21"/>
      <c r="AM21"/>
      <c r="AN21"/>
      <c r="AO21"/>
      <c r="AP21"/>
      <c r="AQ21"/>
      <c r="AR21"/>
      <c r="AS21"/>
      <c r="AT21"/>
    </row>
    <row r="22" spans="1:46" x14ac:dyDescent="0.25">
      <c r="A22" s="23"/>
      <c r="B22" s="53"/>
      <c r="C22" s="53"/>
      <c r="D22" s="54"/>
      <c r="E22" s="55"/>
      <c r="F22" s="54"/>
      <c r="G22" s="48"/>
      <c r="H22" s="48"/>
      <c r="I22" s="48"/>
      <c r="J22" s="48"/>
      <c r="K22" s="48"/>
      <c r="L22" s="48"/>
      <c r="M22" s="49"/>
      <c r="N22" s="48"/>
      <c r="O22" s="48"/>
      <c r="P22" s="48"/>
      <c r="Q22" s="49"/>
      <c r="R22" s="48"/>
      <c r="S22" s="48"/>
      <c r="T22" s="48"/>
      <c r="U22" s="49"/>
      <c r="V22" s="48"/>
      <c r="W22" s="48"/>
      <c r="X22" s="48"/>
      <c r="Y22" s="48"/>
      <c r="Z22" s="48"/>
      <c r="AA22" s="48"/>
      <c r="AB22" s="49"/>
      <c r="AC22" s="48"/>
      <c r="AD22" s="48"/>
      <c r="AE22" s="50"/>
      <c r="AF22" s="48"/>
      <c r="AG22" s="48"/>
      <c r="AH22" s="50"/>
      <c r="AI22" s="48"/>
      <c r="AJ22" s="48"/>
      <c r="AK22"/>
      <c r="AL22"/>
      <c r="AM22"/>
      <c r="AN22"/>
      <c r="AO22"/>
      <c r="AP22"/>
      <c r="AQ22"/>
      <c r="AR22"/>
      <c r="AS22"/>
      <c r="AT22"/>
    </row>
    <row r="23" spans="1:46" ht="15.75" customHeight="1" outlineLevel="1" x14ac:dyDescent="0.35">
      <c r="A23" s="23"/>
      <c r="B23" s="52" t="s">
        <v>22</v>
      </c>
      <c r="C23" s="52"/>
      <c r="D23" s="52"/>
      <c r="E23" s="52"/>
      <c r="F23" s="52"/>
      <c r="G23" s="52"/>
      <c r="H23" s="52"/>
      <c r="I23" s="52"/>
    </row>
    <row r="24" spans="1:46" ht="15.75" customHeight="1" outlineLevel="1" x14ac:dyDescent="0.25">
      <c r="B24" s="22"/>
      <c r="C24" s="22"/>
      <c r="D24" s="22"/>
      <c r="E24" s="22"/>
    </row>
    <row r="25" spans="1:46" ht="15.75" customHeight="1" outlineLevel="1" x14ac:dyDescent="0.35">
      <c r="B25" s="52" t="s">
        <v>23</v>
      </c>
      <c r="C25" s="52"/>
      <c r="D25" s="52"/>
      <c r="E25" s="52"/>
      <c r="F25" s="52"/>
      <c r="G25" s="52"/>
      <c r="H25" s="52"/>
      <c r="I25" s="52"/>
    </row>
    <row r="26" spans="1:46" ht="15.75" customHeight="1" x14ac:dyDescent="0.25"/>
    <row r="27" spans="1:46" ht="15.75" customHeight="1" x14ac:dyDescent="0.25"/>
    <row r="28" spans="1:46" ht="15.75" customHeight="1" x14ac:dyDescent="0.25"/>
    <row r="29" spans="1:46" ht="15.75" customHeight="1" x14ac:dyDescent="0.25"/>
    <row r="30" spans="1:46" ht="15.75" customHeight="1" x14ac:dyDescent="0.25"/>
    <row r="31" spans="1:46" ht="15.75" customHeight="1" x14ac:dyDescent="0.25"/>
    <row r="32" spans="1:4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</sheetData>
  <mergeCells count="16">
    <mergeCell ref="B1:AJ1"/>
    <mergeCell ref="B2:AJ2"/>
    <mergeCell ref="B3:AJ3"/>
    <mergeCell ref="B4:AJ4"/>
    <mergeCell ref="B6:AJ6"/>
    <mergeCell ref="B17:C18"/>
    <mergeCell ref="E17:E18"/>
    <mergeCell ref="G17:L18"/>
    <mergeCell ref="B7:AJ7"/>
    <mergeCell ref="B8:AJ8"/>
    <mergeCell ref="B9:AJ9"/>
    <mergeCell ref="B11:AJ11"/>
    <mergeCell ref="N17:P18"/>
    <mergeCell ref="R17:T18"/>
    <mergeCell ref="V17:AA18"/>
    <mergeCell ref="AC17:AJ18"/>
  </mergeCells>
  <printOptions horizontalCentered="1" verticalCentered="1"/>
  <pageMargins left="0" right="0" top="0" bottom="0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86"/>
  <sheetViews>
    <sheetView tabSelected="1" zoomScaleNormal="100" workbookViewId="0">
      <selection activeCell="P28" sqref="P28"/>
    </sheetView>
  </sheetViews>
  <sheetFormatPr defaultColWidth="14.42578125" defaultRowHeight="15" customHeight="1" outlineLevelRow="1" outlineLevelCol="1" x14ac:dyDescent="0.25"/>
  <cols>
    <col min="1" max="1" width="8.7109375" customWidth="1"/>
    <col min="2" max="2" width="9.140625" customWidth="1"/>
    <col min="3" max="3" width="7.42578125" customWidth="1"/>
    <col min="4" max="4" width="1.42578125" customWidth="1"/>
    <col min="5" max="5" width="20" bestFit="1" customWidth="1"/>
    <col min="6" max="6" width="1.42578125" customWidth="1"/>
    <col min="7" max="9" width="5.5703125" customWidth="1" outlineLevel="1"/>
    <col min="10" max="10" width="7.85546875" bestFit="1" customWidth="1"/>
    <col min="11" max="11" width="7.140625" customWidth="1"/>
    <col min="12" max="12" width="6.85546875" customWidth="1"/>
    <col min="13" max="13" width="1.42578125" customWidth="1"/>
    <col min="14" max="14" width="6.85546875" customWidth="1"/>
    <col min="15" max="15" width="7.140625" customWidth="1"/>
    <col min="16" max="16" width="6.85546875" customWidth="1"/>
    <col min="17" max="17" width="1.42578125" customWidth="1"/>
    <col min="18" max="18" width="6.85546875" customWidth="1"/>
    <col min="19" max="19" width="7.140625" bestFit="1" customWidth="1"/>
    <col min="20" max="20" width="6.85546875" bestFit="1" customWidth="1"/>
    <col min="21" max="21" width="1.42578125" customWidth="1"/>
    <col min="22" max="22" width="6.5703125" customWidth="1" outlineLevel="1"/>
    <col min="23" max="23" width="9.140625" customWidth="1" outlineLevel="1"/>
    <col min="24" max="24" width="8" customWidth="1" outlineLevel="1"/>
    <col min="25" max="25" width="7" bestFit="1" customWidth="1"/>
    <col min="26" max="26" width="7.140625" bestFit="1" customWidth="1"/>
    <col min="27" max="27" width="6.85546875" bestFit="1" customWidth="1"/>
    <col min="28" max="28" width="1.42578125" customWidth="1"/>
    <col min="29" max="29" width="6.85546875" customWidth="1"/>
    <col min="30" max="30" width="7.140625" bestFit="1" customWidth="1"/>
    <col min="31" max="31" width="6.85546875" bestFit="1" customWidth="1"/>
  </cols>
  <sheetData>
    <row r="1" spans="2:31" ht="15" customHeight="1" outlineLevel="1" x14ac:dyDescent="0.25">
      <c r="B1" s="79" t="s">
        <v>17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</row>
    <row r="2" spans="2:31" ht="15" customHeight="1" outlineLevel="1" x14ac:dyDescent="0.25">
      <c r="B2" s="79" t="s">
        <v>18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2:31" ht="15" customHeight="1" outlineLevel="1" x14ac:dyDescent="0.25">
      <c r="B3" s="79" t="s">
        <v>95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</row>
    <row r="4" spans="2:31" ht="15" customHeight="1" outlineLevel="1" x14ac:dyDescent="0.25">
      <c r="B4" s="80" t="s">
        <v>19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</row>
    <row r="5" spans="2:31" ht="15" customHeight="1" outlineLevel="1" x14ac:dyDescent="0.25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</row>
    <row r="6" spans="2:31" ht="18.75" customHeight="1" outlineLevel="1" x14ac:dyDescent="0.25">
      <c r="B6" s="82" t="s">
        <v>92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</row>
    <row r="7" spans="2:31" ht="18.75" customHeight="1" outlineLevel="1" x14ac:dyDescent="0.25">
      <c r="B7" s="82" t="s">
        <v>93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</row>
    <row r="8" spans="2:31" ht="18.75" customHeight="1" outlineLevel="1" x14ac:dyDescent="0.25">
      <c r="B8" s="82" t="s">
        <v>27</v>
      </c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</row>
    <row r="9" spans="2:31" ht="18.75" customHeight="1" outlineLevel="1" x14ac:dyDescent="0.25">
      <c r="B9" s="82" t="s">
        <v>28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</row>
    <row r="10" spans="2:31" ht="15" customHeight="1" outlineLevel="1" x14ac:dyDescent="0.3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3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</row>
    <row r="11" spans="2:31" ht="25.5" customHeight="1" outlineLevel="1" x14ac:dyDescent="0.25">
      <c r="B11" s="84" t="s">
        <v>20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</row>
    <row r="12" spans="2:31" ht="15" customHeight="1" x14ac:dyDescent="0.25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</row>
    <row r="13" spans="2:31" hidden="1" outlineLevel="1" x14ac:dyDescent="0.25">
      <c r="B13" s="81"/>
      <c r="C13" s="81"/>
      <c r="D13" s="81"/>
      <c r="E13" s="85"/>
      <c r="F13" s="81"/>
      <c r="G13" s="86"/>
      <c r="H13" s="86"/>
      <c r="I13" s="86"/>
      <c r="J13" s="86"/>
      <c r="K13" s="86"/>
      <c r="L13" s="87">
        <v>1</v>
      </c>
      <c r="M13" s="81"/>
      <c r="N13" s="86"/>
      <c r="O13" s="86"/>
      <c r="P13" s="87">
        <v>1</v>
      </c>
      <c r="Q13" s="81"/>
      <c r="R13" s="86"/>
      <c r="S13" s="86"/>
      <c r="T13" s="87">
        <v>1</v>
      </c>
      <c r="U13" s="81"/>
      <c r="V13" s="86"/>
      <c r="W13" s="86"/>
      <c r="X13" s="86"/>
      <c r="Y13" s="86"/>
      <c r="Z13" s="86"/>
      <c r="AA13" s="87">
        <v>1</v>
      </c>
      <c r="AB13" s="81"/>
      <c r="AC13" s="86"/>
      <c r="AD13" s="81"/>
      <c r="AE13" s="87">
        <v>1</v>
      </c>
    </row>
    <row r="14" spans="2:31" hidden="1" outlineLevel="1" x14ac:dyDescent="0.25">
      <c r="B14" s="81"/>
      <c r="C14" s="81"/>
      <c r="D14" s="81"/>
      <c r="E14" s="85"/>
      <c r="F14" s="81"/>
      <c r="G14" s="86"/>
      <c r="H14" s="86"/>
      <c r="I14" s="86"/>
      <c r="J14" s="86"/>
      <c r="K14" s="86"/>
      <c r="L14" s="86"/>
      <c r="M14" s="81"/>
      <c r="N14" s="86"/>
      <c r="O14" s="86"/>
      <c r="P14" s="86"/>
      <c r="Q14" s="81"/>
      <c r="R14" s="86"/>
      <c r="S14" s="86"/>
      <c r="T14" s="86"/>
      <c r="U14" s="81"/>
      <c r="V14" s="86"/>
      <c r="W14" s="86"/>
      <c r="X14" s="86"/>
      <c r="Y14" s="86"/>
      <c r="Z14" s="86"/>
      <c r="AA14" s="86"/>
      <c r="AB14" s="81"/>
      <c r="AC14" s="86"/>
      <c r="AD14" s="86"/>
      <c r="AE14" s="81"/>
    </row>
    <row r="15" spans="2:31" hidden="1" outlineLevel="1" x14ac:dyDescent="0.25">
      <c r="B15" s="81"/>
      <c r="C15" s="81"/>
      <c r="D15" s="81"/>
      <c r="E15" s="85"/>
      <c r="F15" s="81"/>
      <c r="G15" s="86"/>
      <c r="H15" s="86"/>
      <c r="I15" s="86"/>
      <c r="J15" s="86"/>
      <c r="K15" s="86"/>
      <c r="L15" s="86"/>
      <c r="M15" s="81"/>
      <c r="N15" s="86"/>
      <c r="O15" s="86"/>
      <c r="P15" s="86"/>
      <c r="Q15" s="81"/>
      <c r="R15" s="86"/>
      <c r="S15" s="86"/>
      <c r="T15" s="86"/>
      <c r="U15" s="81"/>
      <c r="V15" s="86"/>
      <c r="W15" s="86"/>
      <c r="X15" s="86"/>
      <c r="Y15" s="86"/>
      <c r="Z15" s="86"/>
      <c r="AA15" s="86"/>
      <c r="AB15" s="81"/>
      <c r="AC15" s="86"/>
      <c r="AD15" s="86"/>
      <c r="AE15" s="81"/>
    </row>
    <row r="16" spans="2:31" hidden="1" outlineLevel="1" x14ac:dyDescent="0.25">
      <c r="B16" s="81"/>
      <c r="C16" s="81"/>
      <c r="D16" s="81"/>
      <c r="E16" s="81"/>
      <c r="F16" s="81"/>
      <c r="G16" s="86"/>
      <c r="H16" s="86"/>
      <c r="I16" s="86"/>
      <c r="J16" s="86"/>
      <c r="K16" s="86"/>
      <c r="L16" s="86"/>
      <c r="M16" s="81"/>
      <c r="N16" s="86"/>
      <c r="O16" s="86"/>
      <c r="P16" s="86"/>
      <c r="Q16" s="81"/>
      <c r="R16" s="86"/>
      <c r="S16" s="86"/>
      <c r="T16" s="86"/>
      <c r="U16" s="81"/>
      <c r="V16" s="86"/>
      <c r="W16" s="86"/>
      <c r="X16" s="86"/>
      <c r="Y16" s="86"/>
      <c r="Z16" s="86"/>
      <c r="AA16" s="86"/>
      <c r="AB16" s="81"/>
      <c r="AC16" s="86"/>
      <c r="AD16" s="86"/>
      <c r="AE16" s="81"/>
    </row>
    <row r="17" spans="1:31" ht="15" customHeight="1" collapsed="1" x14ac:dyDescent="0.25">
      <c r="B17" s="88" t="s">
        <v>3</v>
      </c>
      <c r="C17" s="89"/>
      <c r="D17" s="90"/>
      <c r="E17" s="91" t="s">
        <v>26</v>
      </c>
      <c r="F17" s="90"/>
      <c r="G17" s="88" t="s">
        <v>25</v>
      </c>
      <c r="H17" s="92"/>
      <c r="I17" s="92"/>
      <c r="J17" s="92"/>
      <c r="K17" s="92"/>
      <c r="L17" s="89"/>
      <c r="M17" s="90"/>
      <c r="N17" s="88" t="s">
        <v>24</v>
      </c>
      <c r="O17" s="92"/>
      <c r="P17" s="89"/>
      <c r="Q17" s="90"/>
      <c r="R17" s="88" t="s">
        <v>4</v>
      </c>
      <c r="S17" s="92"/>
      <c r="T17" s="89"/>
      <c r="U17" s="93"/>
      <c r="V17" s="88" t="s">
        <v>5</v>
      </c>
      <c r="W17" s="92"/>
      <c r="X17" s="92"/>
      <c r="Y17" s="92"/>
      <c r="Z17" s="92"/>
      <c r="AA17" s="89"/>
      <c r="AB17" s="93"/>
      <c r="AC17" s="94" t="s">
        <v>6</v>
      </c>
      <c r="AD17" s="94"/>
      <c r="AE17" s="94"/>
    </row>
    <row r="18" spans="1:31" x14ac:dyDescent="0.25">
      <c r="B18" s="95"/>
      <c r="C18" s="96"/>
      <c r="D18" s="97"/>
      <c r="E18" s="98"/>
      <c r="F18" s="97"/>
      <c r="G18" s="95"/>
      <c r="H18" s="99"/>
      <c r="I18" s="99"/>
      <c r="J18" s="99"/>
      <c r="K18" s="99"/>
      <c r="L18" s="96"/>
      <c r="M18" s="97"/>
      <c r="N18" s="95"/>
      <c r="O18" s="99"/>
      <c r="P18" s="96"/>
      <c r="Q18" s="97"/>
      <c r="R18" s="95"/>
      <c r="S18" s="99"/>
      <c r="T18" s="96"/>
      <c r="U18" s="100"/>
      <c r="V18" s="95"/>
      <c r="W18" s="99"/>
      <c r="X18" s="99"/>
      <c r="Y18" s="99"/>
      <c r="Z18" s="99"/>
      <c r="AA18" s="96"/>
      <c r="AB18" s="100"/>
      <c r="AC18" s="94"/>
      <c r="AD18" s="94"/>
      <c r="AE18" s="94"/>
    </row>
    <row r="19" spans="1:31" ht="25.5" x14ac:dyDescent="0.25">
      <c r="A19" s="18"/>
      <c r="B19" s="101" t="s">
        <v>7</v>
      </c>
      <c r="C19" s="101" t="s">
        <v>8</v>
      </c>
      <c r="D19" s="102"/>
      <c r="E19" s="13" t="s">
        <v>9</v>
      </c>
      <c r="F19" s="102"/>
      <c r="G19" s="103" t="s">
        <v>59</v>
      </c>
      <c r="H19" s="103" t="s">
        <v>60</v>
      </c>
      <c r="I19" s="103" t="s">
        <v>61</v>
      </c>
      <c r="J19" s="103" t="s">
        <v>62</v>
      </c>
      <c r="K19" s="103" t="s">
        <v>13</v>
      </c>
      <c r="L19" s="103" t="s">
        <v>14</v>
      </c>
      <c r="M19" s="102"/>
      <c r="N19" s="101" t="s">
        <v>15</v>
      </c>
      <c r="O19" s="103" t="s">
        <v>13</v>
      </c>
      <c r="P19" s="103" t="s">
        <v>14</v>
      </c>
      <c r="Q19" s="102"/>
      <c r="R19" s="101" t="s">
        <v>15</v>
      </c>
      <c r="S19" s="103" t="s">
        <v>13</v>
      </c>
      <c r="T19" s="103" t="s">
        <v>14</v>
      </c>
      <c r="U19" s="102"/>
      <c r="V19" s="103" t="s">
        <v>63</v>
      </c>
      <c r="W19" s="103" t="s">
        <v>64</v>
      </c>
      <c r="X19" s="101" t="s">
        <v>94</v>
      </c>
      <c r="Y19" s="103" t="s">
        <v>66</v>
      </c>
      <c r="Z19" s="103" t="s">
        <v>13</v>
      </c>
      <c r="AA19" s="103" t="s">
        <v>14</v>
      </c>
      <c r="AB19" s="102"/>
      <c r="AC19" s="101" t="s">
        <v>15</v>
      </c>
      <c r="AD19" s="103" t="s">
        <v>13</v>
      </c>
      <c r="AE19" s="103" t="s">
        <v>14</v>
      </c>
    </row>
    <row r="20" spans="1:31" x14ac:dyDescent="0.25">
      <c r="A20" s="18"/>
      <c r="B20" s="90">
        <f>RANK(C20,C$20:C$22,0)</f>
        <v>1</v>
      </c>
      <c r="C20" s="90">
        <f>SUMIF($G$13:$AE$13,1,$G20:$AE20)</f>
        <v>495</v>
      </c>
      <c r="D20" s="51"/>
      <c r="E20" s="51" t="s">
        <v>68</v>
      </c>
      <c r="F20" s="51"/>
      <c r="G20" s="90">
        <v>35</v>
      </c>
      <c r="H20" s="90">
        <v>35</v>
      </c>
      <c r="I20" s="90">
        <v>35</v>
      </c>
      <c r="J20" s="90">
        <f>G20+H20+I20</f>
        <v>105</v>
      </c>
      <c r="K20" s="90">
        <f>RANK(J20,J$20:J$22,0)</f>
        <v>1</v>
      </c>
      <c r="L20" s="90">
        <f>VLOOKUP(K20,'Место-баллы'!$A$3:$B$52,2,0)</f>
        <v>100</v>
      </c>
      <c r="M20" s="51"/>
      <c r="N20" s="90">
        <f>13+21+21</f>
        <v>55</v>
      </c>
      <c r="O20" s="90">
        <f>RANK(N20,N$20:N$22,0)</f>
        <v>1</v>
      </c>
      <c r="P20" s="90">
        <f>VLOOKUP(O20,'Место-баллы'!$A$3:$B$52,2,0)</f>
        <v>100</v>
      </c>
      <c r="Q20" s="51"/>
      <c r="R20" s="90">
        <v>158</v>
      </c>
      <c r="S20" s="90">
        <f>RANK(R20,R$20:R$22,0)</f>
        <v>1</v>
      </c>
      <c r="T20" s="90">
        <f>VLOOKUP(S20,'Место-баллы'!$A$3:$B$52,2,0)</f>
        <v>100</v>
      </c>
      <c r="U20" s="51"/>
      <c r="V20" s="90">
        <v>26</v>
      </c>
      <c r="W20" s="90">
        <v>8</v>
      </c>
      <c r="X20" s="90">
        <v>29</v>
      </c>
      <c r="Y20" s="90">
        <f>V20+W20+X20</f>
        <v>63</v>
      </c>
      <c r="Z20" s="90">
        <f>RANK(Y20,Y$20:Y$22,0)</f>
        <v>2</v>
      </c>
      <c r="AA20" s="90">
        <f>VLOOKUP(Z20,'Место-баллы'!$A$3:$B$52,2,0)</f>
        <v>95</v>
      </c>
      <c r="AB20" s="51"/>
      <c r="AC20" s="90">
        <v>349</v>
      </c>
      <c r="AD20" s="90">
        <f>RANK(AC20,AC$20:AC$22,0)</f>
        <v>1</v>
      </c>
      <c r="AE20" s="90">
        <f>VLOOKUP(AD20,'Место-баллы'!$A$3:$B$52,2,0)</f>
        <v>100</v>
      </c>
    </row>
    <row r="21" spans="1:31" x14ac:dyDescent="0.25">
      <c r="A21" s="18"/>
      <c r="B21" s="90">
        <f>RANK(C21,C$20:C$22,0)</f>
        <v>2</v>
      </c>
      <c r="C21" s="90">
        <f>SUMIF($G$13:$AE$13,1,$G21:$AE21)</f>
        <v>480</v>
      </c>
      <c r="D21" s="51"/>
      <c r="E21" s="51" t="s">
        <v>39</v>
      </c>
      <c r="F21" s="51"/>
      <c r="G21" s="90">
        <v>35</v>
      </c>
      <c r="H21" s="90">
        <v>37</v>
      </c>
      <c r="I21" s="90">
        <v>0</v>
      </c>
      <c r="J21" s="90">
        <f>G21+H21+I21</f>
        <v>72</v>
      </c>
      <c r="K21" s="90">
        <f>RANK(J21,J$20:J$22,0)</f>
        <v>3</v>
      </c>
      <c r="L21" s="90">
        <f>VLOOKUP(K21,'Место-баллы'!$A$3:$B$52,2,0)</f>
        <v>90</v>
      </c>
      <c r="M21" s="51"/>
      <c r="N21" s="90">
        <f>15+20+20</f>
        <v>55</v>
      </c>
      <c r="O21" s="90">
        <f>RANK(N21,N$20:N$22,0)</f>
        <v>1</v>
      </c>
      <c r="P21" s="90">
        <f>VLOOKUP(O21,'Место-баллы'!$A$3:$B$52,2,0)</f>
        <v>100</v>
      </c>
      <c r="Q21" s="51"/>
      <c r="R21" s="90">
        <v>152</v>
      </c>
      <c r="S21" s="90">
        <f>RANK(R21,R$20:R$22,0)</f>
        <v>2</v>
      </c>
      <c r="T21" s="90">
        <f>VLOOKUP(S21,'Место-баллы'!$A$3:$B$52,2,0)</f>
        <v>95</v>
      </c>
      <c r="U21" s="51"/>
      <c r="V21" s="90">
        <v>33</v>
      </c>
      <c r="W21" s="90">
        <v>11</v>
      </c>
      <c r="X21" s="90">
        <v>28</v>
      </c>
      <c r="Y21" s="90">
        <f>V21+W21+X21</f>
        <v>72</v>
      </c>
      <c r="Z21" s="90">
        <f>RANK(Y21,Y$20:Y$22,0)</f>
        <v>1</v>
      </c>
      <c r="AA21" s="90">
        <f>VLOOKUP(Z21,'Место-баллы'!$A$3:$B$52,2,0)</f>
        <v>100</v>
      </c>
      <c r="AB21" s="51"/>
      <c r="AC21" s="90">
        <v>256</v>
      </c>
      <c r="AD21" s="90">
        <f>RANK(AC21,AC$20:AC$22,0)</f>
        <v>2</v>
      </c>
      <c r="AE21" s="90">
        <f>VLOOKUP(AD21,'Место-баллы'!$A$3:$B$52,2,0)</f>
        <v>95</v>
      </c>
    </row>
    <row r="22" spans="1:31" x14ac:dyDescent="0.25">
      <c r="A22" s="18"/>
      <c r="B22" s="90">
        <f>RANK(C22,C$20:C$22,0)</f>
        <v>3</v>
      </c>
      <c r="C22" s="90">
        <f>SUMIF($G$13:$AE$13,1,$G22:$AE22)</f>
        <v>455</v>
      </c>
      <c r="D22" s="51"/>
      <c r="E22" s="51" t="s">
        <v>69</v>
      </c>
      <c r="F22" s="51"/>
      <c r="G22" s="90">
        <v>30</v>
      </c>
      <c r="H22" s="90">
        <v>35</v>
      </c>
      <c r="I22" s="90">
        <v>30</v>
      </c>
      <c r="J22" s="90">
        <f>G22+H22+I22</f>
        <v>95</v>
      </c>
      <c r="K22" s="90">
        <f>RANK(J22,J$20:J$22,0)</f>
        <v>2</v>
      </c>
      <c r="L22" s="90">
        <f>VLOOKUP(K22,'Место-баллы'!$A$3:$B$52,2,0)</f>
        <v>95</v>
      </c>
      <c r="M22" s="51"/>
      <c r="N22" s="90">
        <f>17+19+17</f>
        <v>53</v>
      </c>
      <c r="O22" s="90">
        <f>RANK(N22,N$20:N$22,0)</f>
        <v>3</v>
      </c>
      <c r="P22" s="90">
        <f>VLOOKUP(O22,'Место-баллы'!$A$3:$B$52,2,0)</f>
        <v>90</v>
      </c>
      <c r="Q22" s="51"/>
      <c r="R22" s="90">
        <v>125</v>
      </c>
      <c r="S22" s="90">
        <f>RANK(R22,R$20:R$22,0)</f>
        <v>3</v>
      </c>
      <c r="T22" s="90">
        <f>VLOOKUP(S22,'Место-баллы'!$A$3:$B$52,2,0)</f>
        <v>90</v>
      </c>
      <c r="U22" s="51"/>
      <c r="V22" s="90">
        <v>20</v>
      </c>
      <c r="W22" s="90">
        <v>12</v>
      </c>
      <c r="X22" s="90">
        <v>25</v>
      </c>
      <c r="Y22" s="90">
        <f>V22+W22+X22</f>
        <v>57</v>
      </c>
      <c r="Z22" s="90">
        <f>RANK(Y22,Y$20:Y$22,0)</f>
        <v>3</v>
      </c>
      <c r="AA22" s="90">
        <f>VLOOKUP(Z22,'Место-баллы'!$A$3:$B$52,2,0)</f>
        <v>90</v>
      </c>
      <c r="AB22" s="51"/>
      <c r="AC22" s="90">
        <v>252</v>
      </c>
      <c r="AD22" s="90">
        <f>RANK(AC22,AC$20:AC$22,0)</f>
        <v>3</v>
      </c>
      <c r="AE22" s="90">
        <f>VLOOKUP(AD22,'Место-баллы'!$A$3:$B$52,2,0)</f>
        <v>90</v>
      </c>
    </row>
    <row r="23" spans="1:31" ht="15.75" customHeight="1" x14ac:dyDescent="0.25">
      <c r="A23" s="18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</row>
    <row r="24" spans="1:31" ht="15.75" customHeight="1" x14ac:dyDescent="0.25">
      <c r="A24" s="18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1:31" ht="15.75" customHeight="1" outlineLevel="1" x14ac:dyDescent="0.35">
      <c r="A25" s="18"/>
      <c r="B25" s="104" t="s">
        <v>22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1:31" ht="15.75" customHeight="1" outlineLevel="1" x14ac:dyDescent="0.25">
      <c r="B26" s="105"/>
      <c r="C26" s="105"/>
      <c r="D26" s="105"/>
      <c r="E26" s="105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</row>
    <row r="27" spans="1:31" ht="15.75" customHeight="1" outlineLevel="1" x14ac:dyDescent="0.35">
      <c r="B27" s="104" t="s">
        <v>23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1:31" ht="15.75" customHeight="1" x14ac:dyDescent="0.25"/>
    <row r="29" spans="1:31" ht="15.75" customHeight="1" x14ac:dyDescent="0.25"/>
    <row r="30" spans="1:31" ht="15.75" customHeight="1" x14ac:dyDescent="0.25"/>
    <row r="31" spans="1:31" ht="15.75" customHeight="1" x14ac:dyDescent="0.25"/>
    <row r="32" spans="1:3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</sheetData>
  <autoFilter ref="B19:AE19" xr:uid="{619982E7-7ABD-4B72-84BE-A510CC0B83BB}">
    <sortState ref="B20:AE22">
      <sortCondition ref="B19"/>
    </sortState>
  </autoFilter>
  <mergeCells count="16">
    <mergeCell ref="B1:AE1"/>
    <mergeCell ref="B2:AE2"/>
    <mergeCell ref="B3:AE3"/>
    <mergeCell ref="B4:AE4"/>
    <mergeCell ref="R17:T18"/>
    <mergeCell ref="V17:AA18"/>
    <mergeCell ref="AC17:AE18"/>
    <mergeCell ref="B17:C18"/>
    <mergeCell ref="E17:E18"/>
    <mergeCell ref="G17:L18"/>
    <mergeCell ref="N17:P18"/>
    <mergeCell ref="B6:AE6"/>
    <mergeCell ref="B7:AE7"/>
    <mergeCell ref="B8:AE8"/>
    <mergeCell ref="B9:AE9"/>
    <mergeCell ref="B11:AE11"/>
  </mergeCells>
  <printOptions horizontalCentered="1" verticalCentered="1"/>
  <pageMargins left="0" right="0" top="0" bottom="0" header="0" footer="0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974A2-3672-4B4E-B293-C5D4565620F2}">
  <sheetPr>
    <pageSetUpPr fitToPage="1"/>
  </sheetPr>
  <dimension ref="A1:AL85"/>
  <sheetViews>
    <sheetView zoomScaleNormal="100" workbookViewId="0">
      <selection activeCell="B8" sqref="B8:AE8"/>
    </sheetView>
  </sheetViews>
  <sheetFormatPr defaultColWidth="14.42578125" defaultRowHeight="15" customHeight="1" outlineLevelRow="1" outlineLevelCol="1" x14ac:dyDescent="0.25"/>
  <cols>
    <col min="1" max="1" width="8.7109375" customWidth="1"/>
    <col min="2" max="2" width="9.140625" customWidth="1"/>
    <col min="3" max="3" width="7.42578125" customWidth="1"/>
    <col min="4" max="4" width="1.42578125" customWidth="1"/>
    <col min="5" max="5" width="17.42578125" bestFit="1" customWidth="1"/>
    <col min="6" max="6" width="1.42578125" customWidth="1"/>
    <col min="7" max="9" width="5.5703125" customWidth="1" outlineLevel="1"/>
    <col min="10" max="10" width="7.85546875" bestFit="1" customWidth="1"/>
    <col min="11" max="11" width="7.140625" bestFit="1" customWidth="1"/>
    <col min="12" max="12" width="6.85546875" bestFit="1" customWidth="1"/>
    <col min="13" max="13" width="1.42578125" customWidth="1"/>
    <col min="14" max="14" width="6.85546875" customWidth="1"/>
    <col min="15" max="15" width="7.140625" bestFit="1" customWidth="1"/>
    <col min="16" max="16" width="6.85546875" bestFit="1" customWidth="1"/>
    <col min="17" max="17" width="1.42578125" customWidth="1"/>
    <col min="18" max="18" width="6.85546875" customWidth="1"/>
    <col min="19" max="19" width="7.140625" bestFit="1" customWidth="1"/>
    <col min="20" max="20" width="6.85546875" bestFit="1" customWidth="1"/>
    <col min="21" max="21" width="1.42578125" customWidth="1"/>
    <col min="22" max="22" width="6.5703125" customWidth="1" outlineLevel="1"/>
    <col min="23" max="23" width="9.140625" customWidth="1" outlineLevel="1"/>
    <col min="24" max="24" width="8" customWidth="1" outlineLevel="1"/>
    <col min="25" max="25" width="7" bestFit="1" customWidth="1"/>
    <col min="26" max="26" width="7.140625" customWidth="1"/>
    <col min="27" max="27" width="6.85546875" customWidth="1"/>
    <col min="28" max="28" width="1.42578125" customWidth="1"/>
    <col min="29" max="29" width="6.85546875" customWidth="1"/>
    <col min="30" max="30" width="7.140625" bestFit="1" customWidth="1"/>
    <col min="31" max="31" width="6.85546875" bestFit="1" customWidth="1"/>
    <col min="32" max="32" width="6.85546875" customWidth="1"/>
    <col min="33" max="33" width="7.140625" bestFit="1" customWidth="1"/>
    <col min="34" max="34" width="6.85546875" bestFit="1" customWidth="1"/>
    <col min="35" max="35" width="1.42578125" customWidth="1"/>
    <col min="36" max="36" width="6.85546875" customWidth="1"/>
    <col min="37" max="37" width="7.140625" bestFit="1" customWidth="1"/>
    <col min="38" max="38" width="6.85546875" bestFit="1" customWidth="1"/>
  </cols>
  <sheetData>
    <row r="1" spans="2:38" ht="15" customHeight="1" outlineLevel="1" x14ac:dyDescent="0.25">
      <c r="B1" s="64" t="s">
        <v>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36"/>
      <c r="AG1" s="36"/>
      <c r="AH1" s="36"/>
      <c r="AI1" s="36"/>
      <c r="AJ1" s="36"/>
      <c r="AK1" s="36"/>
      <c r="AL1" s="36"/>
    </row>
    <row r="2" spans="2:38" ht="15" customHeight="1" outlineLevel="1" x14ac:dyDescent="0.25">
      <c r="B2" s="64" t="s">
        <v>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36"/>
      <c r="AG2" s="36"/>
      <c r="AH2" s="36"/>
      <c r="AI2" s="36"/>
      <c r="AJ2" s="36"/>
      <c r="AK2" s="36"/>
      <c r="AL2" s="36"/>
    </row>
    <row r="3" spans="2:38" ht="15" customHeight="1" outlineLevel="1" x14ac:dyDescent="0.25">
      <c r="B3" s="64" t="s">
        <v>21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36"/>
      <c r="AG3" s="36"/>
      <c r="AH3" s="36"/>
      <c r="AI3" s="36"/>
      <c r="AJ3" s="36"/>
      <c r="AK3" s="36"/>
      <c r="AL3" s="36"/>
    </row>
    <row r="4" spans="2:38" ht="15" customHeight="1" outlineLevel="1" x14ac:dyDescent="0.25">
      <c r="B4" s="65" t="s">
        <v>19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37"/>
      <c r="AG4" s="37"/>
      <c r="AH4" s="37"/>
      <c r="AI4" s="37"/>
      <c r="AJ4" s="37"/>
      <c r="AK4" s="37"/>
      <c r="AL4" s="37"/>
    </row>
    <row r="5" spans="2:38" ht="15" customHeight="1" outlineLevel="1" x14ac:dyDescent="0.25"/>
    <row r="6" spans="2:38" ht="18.75" outlineLevel="1" x14ac:dyDescent="0.25">
      <c r="B6" s="62" t="s">
        <v>92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38"/>
      <c r="AG6" s="38"/>
      <c r="AH6" s="38"/>
      <c r="AI6" s="38"/>
      <c r="AJ6" s="38"/>
      <c r="AK6" s="38"/>
      <c r="AL6" s="38"/>
    </row>
    <row r="7" spans="2:38" ht="18.75" outlineLevel="1" x14ac:dyDescent="0.25">
      <c r="B7" s="62" t="s">
        <v>93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38"/>
      <c r="AG7" s="38"/>
      <c r="AH7" s="38"/>
      <c r="AI7" s="38"/>
      <c r="AJ7" s="38"/>
      <c r="AK7" s="38"/>
      <c r="AL7" s="38"/>
    </row>
    <row r="8" spans="2:38" ht="18.75" outlineLevel="1" x14ac:dyDescent="0.25">
      <c r="B8" s="62" t="s">
        <v>27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38"/>
      <c r="AG8" s="38"/>
      <c r="AH8" s="38"/>
      <c r="AI8" s="38"/>
      <c r="AJ8" s="38"/>
      <c r="AK8" s="38"/>
      <c r="AL8" s="38"/>
    </row>
    <row r="9" spans="2:38" ht="18.75" outlineLevel="1" x14ac:dyDescent="0.25">
      <c r="B9" s="62" t="s">
        <v>45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38"/>
      <c r="AG9" s="38"/>
      <c r="AH9" s="38"/>
      <c r="AI9" s="38"/>
      <c r="AJ9" s="38"/>
      <c r="AK9" s="38"/>
      <c r="AL9" s="38"/>
    </row>
    <row r="10" spans="2:38" ht="15" customHeight="1" outlineLevel="1" x14ac:dyDescent="0.3">
      <c r="I10" s="15"/>
    </row>
    <row r="11" spans="2:38" ht="25.5" outlineLevel="1" x14ac:dyDescent="0.25">
      <c r="B11" s="63" t="s">
        <v>20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41"/>
      <c r="AG11" s="41"/>
      <c r="AH11" s="41"/>
      <c r="AI11" s="41"/>
      <c r="AJ11" s="41"/>
      <c r="AK11" s="41"/>
      <c r="AL11" s="41"/>
    </row>
    <row r="13" spans="2:38" hidden="1" outlineLevel="1" x14ac:dyDescent="0.25">
      <c r="E13" s="12"/>
      <c r="G13" s="2"/>
      <c r="H13" s="2"/>
      <c r="I13" s="2"/>
      <c r="J13" s="2"/>
      <c r="K13" s="2"/>
      <c r="L13" s="3">
        <v>1</v>
      </c>
      <c r="N13" s="2"/>
      <c r="O13" s="4"/>
      <c r="P13" s="9">
        <v>1</v>
      </c>
      <c r="R13" s="2"/>
      <c r="S13" s="2"/>
      <c r="T13" s="9">
        <v>1</v>
      </c>
      <c r="V13" s="2"/>
      <c r="W13" s="2"/>
      <c r="X13" s="2"/>
      <c r="Y13" s="2"/>
      <c r="Z13" s="2"/>
      <c r="AA13" s="3">
        <v>1</v>
      </c>
      <c r="AC13" s="2"/>
      <c r="AE13" s="9">
        <v>1</v>
      </c>
    </row>
    <row r="14" spans="2:38" hidden="1" outlineLevel="1" x14ac:dyDescent="0.25">
      <c r="E14" s="12"/>
      <c r="G14" s="2"/>
      <c r="H14" s="2"/>
      <c r="I14" s="2"/>
      <c r="J14" s="2"/>
      <c r="K14" s="2"/>
      <c r="L14" s="2"/>
      <c r="N14" s="2"/>
      <c r="O14" s="2"/>
      <c r="P14" s="2"/>
      <c r="R14" s="2"/>
      <c r="S14" s="2"/>
      <c r="T14" s="2"/>
      <c r="V14" s="2"/>
      <c r="W14" s="2"/>
      <c r="X14" s="2"/>
      <c r="Y14" s="2"/>
      <c r="Z14" s="2"/>
      <c r="AA14" s="2"/>
      <c r="AC14" s="2"/>
      <c r="AD14" s="2"/>
    </row>
    <row r="15" spans="2:38" hidden="1" outlineLevel="1" x14ac:dyDescent="0.25">
      <c r="E15" s="12"/>
      <c r="G15" s="4"/>
      <c r="H15" s="4"/>
      <c r="I15" s="4"/>
      <c r="J15" s="4"/>
      <c r="K15" s="2"/>
      <c r="L15" s="2"/>
      <c r="N15" s="2"/>
      <c r="O15" s="2"/>
      <c r="P15" s="2"/>
      <c r="R15" s="2"/>
      <c r="S15" s="2"/>
      <c r="T15" s="2"/>
      <c r="V15" s="2"/>
      <c r="W15" s="2"/>
      <c r="X15" s="2"/>
      <c r="Y15" s="2"/>
      <c r="Z15" s="2"/>
      <c r="AA15" s="2"/>
      <c r="AC15" s="4"/>
      <c r="AD15" s="2"/>
    </row>
    <row r="16" spans="2:38" hidden="1" outlineLevel="1" x14ac:dyDescent="0.25">
      <c r="G16" s="2"/>
      <c r="H16" s="2"/>
      <c r="I16" s="2"/>
      <c r="J16" s="2"/>
      <c r="K16" s="2"/>
      <c r="L16" s="2"/>
      <c r="N16" s="2"/>
      <c r="O16" s="2"/>
      <c r="P16" s="2"/>
      <c r="R16" s="2"/>
      <c r="S16" s="2"/>
      <c r="T16" s="2"/>
      <c r="V16" s="2"/>
      <c r="W16" s="2"/>
      <c r="X16" s="2"/>
      <c r="Y16" s="2"/>
      <c r="Z16" s="2"/>
      <c r="AA16" s="2"/>
      <c r="AC16" s="2"/>
      <c r="AD16" s="2"/>
    </row>
    <row r="17" spans="1:31" ht="15" customHeight="1" collapsed="1" x14ac:dyDescent="0.25">
      <c r="B17" s="67" t="s">
        <v>3</v>
      </c>
      <c r="C17" s="68"/>
      <c r="D17" s="5"/>
      <c r="E17" s="67" t="s">
        <v>29</v>
      </c>
      <c r="F17" s="5"/>
      <c r="G17" s="66" t="s">
        <v>25</v>
      </c>
      <c r="H17" s="69"/>
      <c r="I17" s="69"/>
      <c r="J17" s="69"/>
      <c r="K17" s="69"/>
      <c r="L17" s="70"/>
      <c r="M17" s="5"/>
      <c r="N17" s="66" t="s">
        <v>24</v>
      </c>
      <c r="O17" s="69"/>
      <c r="P17" s="70"/>
      <c r="Q17" s="5"/>
      <c r="R17" s="66" t="s">
        <v>4</v>
      </c>
      <c r="S17" s="69"/>
      <c r="T17" s="70"/>
      <c r="U17" s="39"/>
      <c r="V17" s="66" t="s">
        <v>5</v>
      </c>
      <c r="W17" s="69"/>
      <c r="X17" s="69"/>
      <c r="Y17" s="69"/>
      <c r="Z17" s="69"/>
      <c r="AA17" s="70"/>
      <c r="AB17" s="39"/>
      <c r="AC17" s="67" t="s">
        <v>6</v>
      </c>
      <c r="AD17" s="74"/>
      <c r="AE17" s="74"/>
    </row>
    <row r="18" spans="1:31" x14ac:dyDescent="0.25">
      <c r="B18" s="68"/>
      <c r="C18" s="68"/>
      <c r="D18" s="6"/>
      <c r="E18" s="68"/>
      <c r="F18" s="6"/>
      <c r="G18" s="71"/>
      <c r="H18" s="72"/>
      <c r="I18" s="72"/>
      <c r="J18" s="72"/>
      <c r="K18" s="72"/>
      <c r="L18" s="73"/>
      <c r="M18" s="42"/>
      <c r="N18" s="71"/>
      <c r="O18" s="72"/>
      <c r="P18" s="73"/>
      <c r="Q18" s="42"/>
      <c r="R18" s="71"/>
      <c r="S18" s="72"/>
      <c r="T18" s="73"/>
      <c r="U18" s="43"/>
      <c r="V18" s="71"/>
      <c r="W18" s="72"/>
      <c r="X18" s="72"/>
      <c r="Y18" s="72"/>
      <c r="Z18" s="72"/>
      <c r="AA18" s="73"/>
      <c r="AB18" s="43"/>
      <c r="AC18" s="74"/>
      <c r="AD18" s="74"/>
      <c r="AE18" s="74"/>
    </row>
    <row r="19" spans="1:31" ht="25.5" x14ac:dyDescent="0.25">
      <c r="A19" s="18"/>
      <c r="B19" s="11" t="s">
        <v>7</v>
      </c>
      <c r="C19" s="11" t="s">
        <v>8</v>
      </c>
      <c r="D19" s="7"/>
      <c r="E19" s="13" t="s">
        <v>9</v>
      </c>
      <c r="F19" s="7"/>
      <c r="G19" s="10" t="s">
        <v>59</v>
      </c>
      <c r="H19" s="10" t="s">
        <v>60</v>
      </c>
      <c r="I19" s="10" t="s">
        <v>61</v>
      </c>
      <c r="J19" s="10" t="s">
        <v>62</v>
      </c>
      <c r="K19" s="10" t="s">
        <v>13</v>
      </c>
      <c r="L19" s="10" t="s">
        <v>14</v>
      </c>
      <c r="M19" s="44"/>
      <c r="N19" s="11" t="s">
        <v>15</v>
      </c>
      <c r="O19" s="10" t="s">
        <v>13</v>
      </c>
      <c r="P19" s="10" t="s">
        <v>14</v>
      </c>
      <c r="Q19" s="44"/>
      <c r="R19" s="11" t="s">
        <v>15</v>
      </c>
      <c r="S19" s="10" t="s">
        <v>13</v>
      </c>
      <c r="T19" s="10" t="s">
        <v>14</v>
      </c>
      <c r="U19" s="44"/>
      <c r="V19" s="10" t="s">
        <v>63</v>
      </c>
      <c r="W19" s="10" t="s">
        <v>64</v>
      </c>
      <c r="X19" s="11" t="s">
        <v>94</v>
      </c>
      <c r="Y19" s="10" t="s">
        <v>66</v>
      </c>
      <c r="Z19" s="10" t="s">
        <v>13</v>
      </c>
      <c r="AA19" s="10" t="s">
        <v>14</v>
      </c>
      <c r="AB19" s="44"/>
      <c r="AC19" s="11" t="s">
        <v>15</v>
      </c>
      <c r="AD19" s="10" t="s">
        <v>13</v>
      </c>
      <c r="AE19" s="10" t="s">
        <v>14</v>
      </c>
    </row>
    <row r="20" spans="1:31" x14ac:dyDescent="0.25">
      <c r="A20" s="18"/>
      <c r="B20" s="5">
        <f>RANK(C20,C$20:C$21,0)</f>
        <v>1</v>
      </c>
      <c r="C20" s="5">
        <f>SUMIF($G$13:$AE$13,1,$G20:$AE20)</f>
        <v>500</v>
      </c>
      <c r="D20" s="8"/>
      <c r="E20" s="20" t="s">
        <v>72</v>
      </c>
      <c r="F20" s="8"/>
      <c r="G20" s="5">
        <v>40</v>
      </c>
      <c r="H20" s="5">
        <v>40</v>
      </c>
      <c r="I20" s="5">
        <v>40</v>
      </c>
      <c r="J20" s="5">
        <f>G20+H20+I20</f>
        <v>120</v>
      </c>
      <c r="K20" s="5">
        <f>RANK(J20,J$20:J$21,0)</f>
        <v>1</v>
      </c>
      <c r="L20" s="5">
        <f>VLOOKUP(K20,'Место-баллы'!$A$3:$B$52,2,0)</f>
        <v>100</v>
      </c>
      <c r="M20" s="45"/>
      <c r="N20" s="5">
        <f>18+26+22</f>
        <v>66</v>
      </c>
      <c r="O20" s="5">
        <f>RANK(N20,N$20:N$21,0)</f>
        <v>1</v>
      </c>
      <c r="P20" s="5">
        <f>VLOOKUP(O20,'Место-баллы'!$A$3:$B$52,2,0)</f>
        <v>100</v>
      </c>
      <c r="Q20" s="45"/>
      <c r="R20" s="5">
        <v>150</v>
      </c>
      <c r="S20" s="5">
        <f>RANK(R20,R$20:R$21,0)</f>
        <v>1</v>
      </c>
      <c r="T20" s="5">
        <f>VLOOKUP(S20,'Место-баллы'!$A$3:$B$52,2,0)</f>
        <v>100</v>
      </c>
      <c r="U20" s="45"/>
      <c r="V20" s="5">
        <v>36</v>
      </c>
      <c r="W20" s="5">
        <v>13</v>
      </c>
      <c r="X20" s="5">
        <v>26</v>
      </c>
      <c r="Y20" s="5">
        <f>V20+W20+X20</f>
        <v>75</v>
      </c>
      <c r="Z20" s="5">
        <f>RANK(Y20,Y$20:Y$21,0)</f>
        <v>1</v>
      </c>
      <c r="AA20" s="5">
        <f>VLOOKUP(Z20,'Место-баллы'!$A$3:$B$52,2,0)</f>
        <v>100</v>
      </c>
      <c r="AB20" s="45"/>
      <c r="AC20" s="5">
        <v>383</v>
      </c>
      <c r="AD20" s="5">
        <f>RANK(AC20,AC$20:AC$21,0)</f>
        <v>1</v>
      </c>
      <c r="AE20" s="5">
        <f>VLOOKUP(AD20,'Место-баллы'!$A$3:$B$52,2,0)</f>
        <v>100</v>
      </c>
    </row>
    <row r="21" spans="1:31" x14ac:dyDescent="0.25">
      <c r="A21" s="18"/>
      <c r="B21" s="5">
        <f>RANK(C21,C$20:C$21,0)</f>
        <v>2</v>
      </c>
      <c r="C21" s="5">
        <f>SUMIF($G$13:$AE$13,1,$G21:$AE21)</f>
        <v>475</v>
      </c>
      <c r="D21" s="8"/>
      <c r="E21" s="20" t="s">
        <v>70</v>
      </c>
      <c r="F21" s="8"/>
      <c r="G21" s="5">
        <v>30</v>
      </c>
      <c r="H21" s="5">
        <v>35</v>
      </c>
      <c r="I21" s="5">
        <v>35</v>
      </c>
      <c r="J21" s="5">
        <f>G21+H21+I21</f>
        <v>100</v>
      </c>
      <c r="K21" s="5">
        <f>RANK(J21,J$20:J$21,0)</f>
        <v>2</v>
      </c>
      <c r="L21" s="5">
        <f>VLOOKUP(K21,'Место-баллы'!$A$3:$B$52,2,0)</f>
        <v>95</v>
      </c>
      <c r="M21" s="45"/>
      <c r="N21" s="5">
        <f>14+22+21</f>
        <v>57</v>
      </c>
      <c r="O21" s="5">
        <f>RANK(N21,N$20:N$21,0)</f>
        <v>2</v>
      </c>
      <c r="P21" s="5">
        <f>VLOOKUP(O21,'Место-баллы'!$A$3:$B$52,2,0)</f>
        <v>95</v>
      </c>
      <c r="Q21" s="45"/>
      <c r="R21" s="5">
        <v>76</v>
      </c>
      <c r="S21" s="5">
        <f>RANK(R21,R$20:R$21,0)</f>
        <v>2</v>
      </c>
      <c r="T21" s="5">
        <f>VLOOKUP(S21,'Место-баллы'!$A$3:$B$52,2,0)</f>
        <v>95</v>
      </c>
      <c r="U21" s="45"/>
      <c r="V21" s="5">
        <v>28</v>
      </c>
      <c r="W21" s="5">
        <v>6</v>
      </c>
      <c r="X21" s="5">
        <v>22</v>
      </c>
      <c r="Y21" s="5">
        <f>V21+W21+X21</f>
        <v>56</v>
      </c>
      <c r="Z21" s="5">
        <f>RANK(Y21,Y$20:Y$21,0)</f>
        <v>2</v>
      </c>
      <c r="AA21" s="5">
        <f>VLOOKUP(Z21,'Место-баллы'!$A$3:$B$52,2,0)</f>
        <v>95</v>
      </c>
      <c r="AB21" s="45"/>
      <c r="AC21" s="5">
        <v>242</v>
      </c>
      <c r="AD21" s="5">
        <f>RANK(AC21,AC$20:AC$21,0)</f>
        <v>2</v>
      </c>
      <c r="AE21" s="5">
        <f>VLOOKUP(AD21,'Место-баллы'!$A$3:$B$52,2,0)</f>
        <v>95</v>
      </c>
    </row>
    <row r="22" spans="1:31" ht="15.75" customHeight="1" x14ac:dyDescent="0.25">
      <c r="A22" s="18"/>
    </row>
    <row r="23" spans="1:31" ht="15.75" customHeight="1" x14ac:dyDescent="0.25">
      <c r="A23" s="18"/>
    </row>
    <row r="24" spans="1:31" ht="15.75" customHeight="1" outlineLevel="1" x14ac:dyDescent="0.35">
      <c r="A24" s="18"/>
      <c r="B24" s="40" t="s">
        <v>22</v>
      </c>
      <c r="C24" s="40"/>
      <c r="D24" s="40"/>
      <c r="E24" s="40"/>
      <c r="F24" s="40"/>
      <c r="G24" s="40"/>
      <c r="H24" s="40"/>
      <c r="I24" s="40"/>
    </row>
    <row r="25" spans="1:31" ht="15.75" customHeight="1" outlineLevel="1" x14ac:dyDescent="0.25">
      <c r="B25" s="16"/>
      <c r="C25" s="16"/>
      <c r="D25" s="16"/>
      <c r="E25" s="16"/>
    </row>
    <row r="26" spans="1:31" ht="15.75" customHeight="1" outlineLevel="1" x14ac:dyDescent="0.35">
      <c r="B26" s="40" t="s">
        <v>23</v>
      </c>
      <c r="C26" s="40"/>
      <c r="D26" s="40"/>
      <c r="E26" s="40"/>
      <c r="F26" s="40"/>
      <c r="G26" s="40"/>
      <c r="H26" s="40"/>
      <c r="I26" s="40"/>
    </row>
    <row r="27" spans="1:31" ht="15.75" customHeight="1" x14ac:dyDescent="0.25"/>
    <row r="28" spans="1:31" ht="15.75" customHeight="1" x14ac:dyDescent="0.25"/>
    <row r="29" spans="1:31" ht="15.75" customHeight="1" x14ac:dyDescent="0.25"/>
    <row r="30" spans="1:31" ht="15.75" customHeight="1" x14ac:dyDescent="0.25"/>
    <row r="31" spans="1:31" ht="15.75" customHeight="1" x14ac:dyDescent="0.25"/>
    <row r="32" spans="1:3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</sheetData>
  <autoFilter ref="B19:AE19" xr:uid="{88B39172-323C-49CC-86EB-1085A874F497}">
    <sortState ref="B20:AE21">
      <sortCondition ref="B19"/>
    </sortState>
  </autoFilter>
  <mergeCells count="16">
    <mergeCell ref="B7:AE7"/>
    <mergeCell ref="B1:AE1"/>
    <mergeCell ref="B2:AE2"/>
    <mergeCell ref="B3:AE3"/>
    <mergeCell ref="B4:AE4"/>
    <mergeCell ref="B6:AE6"/>
    <mergeCell ref="B17:C18"/>
    <mergeCell ref="E17:E18"/>
    <mergeCell ref="G17:L18"/>
    <mergeCell ref="N17:P18"/>
    <mergeCell ref="B8:AE8"/>
    <mergeCell ref="B9:AE9"/>
    <mergeCell ref="B11:AE11"/>
    <mergeCell ref="R17:T18"/>
    <mergeCell ref="V17:AA18"/>
    <mergeCell ref="AC17:AE18"/>
  </mergeCells>
  <printOptions horizontalCentered="1" verticalCentered="1"/>
  <pageMargins left="0" right="0" top="0" bottom="0" header="0" footer="0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87"/>
  <sheetViews>
    <sheetView zoomScaleNormal="100" workbookViewId="0">
      <selection activeCell="Q29" sqref="Q29"/>
    </sheetView>
  </sheetViews>
  <sheetFormatPr defaultColWidth="14.42578125" defaultRowHeight="15" customHeight="1" outlineLevelRow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.28515625" bestFit="1" customWidth="1"/>
    <col min="6" max="6" width="1.42578125" customWidth="1"/>
    <col min="7" max="9" width="5.5703125" customWidth="1" outlineLevel="1"/>
    <col min="10" max="10" width="7.85546875" bestFit="1" customWidth="1"/>
    <col min="11" max="11" width="7.140625" bestFit="1" customWidth="1"/>
    <col min="12" max="12" width="6.85546875" bestFit="1" customWidth="1"/>
    <col min="13" max="13" width="1.42578125" customWidth="1"/>
    <col min="14" max="14" width="6.85546875" customWidth="1"/>
    <col min="15" max="15" width="7.140625" bestFit="1" customWidth="1"/>
    <col min="16" max="16" width="6.85546875" bestFit="1" customWidth="1"/>
    <col min="17" max="17" width="1.42578125" customWidth="1"/>
    <col min="18" max="18" width="6.85546875" customWidth="1"/>
    <col min="19" max="19" width="7.140625" bestFit="1" customWidth="1"/>
    <col min="20" max="20" width="6.85546875" bestFit="1" customWidth="1"/>
    <col min="21" max="21" width="1.42578125" customWidth="1"/>
    <col min="22" max="22" width="6.5703125" customWidth="1" outlineLevel="1"/>
    <col min="23" max="23" width="9.140625" customWidth="1" outlineLevel="1"/>
    <col min="24" max="24" width="8" customWidth="1" outlineLevel="1"/>
    <col min="25" max="25" width="7" bestFit="1" customWidth="1"/>
    <col min="26" max="26" width="7.140625" customWidth="1"/>
    <col min="27" max="27" width="6.85546875" customWidth="1"/>
    <col min="28" max="28" width="1.42578125" customWidth="1"/>
    <col min="29" max="29" width="6.85546875" customWidth="1"/>
    <col min="30" max="30" width="7.140625" bestFit="1" customWidth="1"/>
    <col min="31" max="31" width="6.85546875" bestFit="1" customWidth="1"/>
    <col min="32" max="32" width="6.85546875" customWidth="1"/>
    <col min="33" max="33" width="7.140625" bestFit="1" customWidth="1"/>
    <col min="34" max="34" width="6.85546875" bestFit="1" customWidth="1"/>
    <col min="35" max="35" width="1.42578125" customWidth="1"/>
    <col min="36" max="36" width="6.85546875" customWidth="1"/>
    <col min="37" max="37" width="7.140625" bestFit="1" customWidth="1"/>
    <col min="38" max="38" width="6.85546875" bestFit="1" customWidth="1"/>
  </cols>
  <sheetData>
    <row r="1" spans="2:38" ht="15" customHeight="1" outlineLevel="1" x14ac:dyDescent="0.25">
      <c r="B1" s="64" t="s">
        <v>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36"/>
      <c r="AG1" s="36"/>
      <c r="AH1" s="36"/>
      <c r="AI1" s="36"/>
      <c r="AJ1" s="36"/>
      <c r="AK1" s="36"/>
      <c r="AL1" s="36"/>
    </row>
    <row r="2" spans="2:38" ht="15" customHeight="1" outlineLevel="1" x14ac:dyDescent="0.25">
      <c r="B2" s="64" t="s">
        <v>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36"/>
      <c r="AG2" s="36"/>
      <c r="AH2" s="36"/>
      <c r="AI2" s="36"/>
      <c r="AJ2" s="36"/>
      <c r="AK2" s="36"/>
      <c r="AL2" s="36"/>
    </row>
    <row r="3" spans="2:38" ht="15" customHeight="1" outlineLevel="1" x14ac:dyDescent="0.25">
      <c r="B3" s="64" t="s">
        <v>21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36"/>
      <c r="AG3" s="36"/>
      <c r="AH3" s="36"/>
      <c r="AI3" s="36"/>
      <c r="AJ3" s="36"/>
      <c r="AK3" s="36"/>
      <c r="AL3" s="36"/>
    </row>
    <row r="4" spans="2:38" ht="15" customHeight="1" outlineLevel="1" x14ac:dyDescent="0.25">
      <c r="B4" s="65" t="s">
        <v>19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37"/>
      <c r="AG4" s="37"/>
      <c r="AH4" s="37"/>
      <c r="AI4" s="37"/>
      <c r="AJ4" s="37"/>
      <c r="AK4" s="37"/>
      <c r="AL4" s="37"/>
    </row>
    <row r="5" spans="2:38" ht="15" customHeight="1" outlineLevel="1" x14ac:dyDescent="0.25"/>
    <row r="6" spans="2:38" ht="18.75" customHeight="1" outlineLevel="1" x14ac:dyDescent="0.25">
      <c r="B6" s="62" t="s">
        <v>92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38"/>
      <c r="AG6" s="38"/>
      <c r="AH6" s="38"/>
      <c r="AI6" s="38"/>
      <c r="AJ6" s="38"/>
      <c r="AK6" s="38"/>
      <c r="AL6" s="38"/>
    </row>
    <row r="7" spans="2:38" ht="18.75" customHeight="1" outlineLevel="1" x14ac:dyDescent="0.25">
      <c r="B7" s="62" t="s">
        <v>93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38"/>
      <c r="AG7" s="38"/>
      <c r="AH7" s="38"/>
      <c r="AI7" s="38"/>
      <c r="AJ7" s="38"/>
      <c r="AK7" s="38"/>
      <c r="AL7" s="38"/>
    </row>
    <row r="8" spans="2:38" ht="18.75" customHeight="1" outlineLevel="1" x14ac:dyDescent="0.25">
      <c r="B8" s="62" t="s">
        <v>46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38"/>
      <c r="AG8" s="38"/>
      <c r="AH8" s="38"/>
      <c r="AI8" s="38"/>
      <c r="AJ8" s="38"/>
      <c r="AK8" s="38"/>
      <c r="AL8" s="38"/>
    </row>
    <row r="9" spans="2:38" ht="18.75" customHeight="1" outlineLevel="1" x14ac:dyDescent="0.25">
      <c r="B9" s="62" t="s">
        <v>47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38"/>
      <c r="AG9" s="38"/>
      <c r="AH9" s="38"/>
      <c r="AI9" s="38"/>
      <c r="AJ9" s="38"/>
      <c r="AK9" s="38"/>
      <c r="AL9" s="38"/>
    </row>
    <row r="10" spans="2:38" ht="15" customHeight="1" outlineLevel="1" x14ac:dyDescent="0.3">
      <c r="I10" s="15"/>
    </row>
    <row r="11" spans="2:38" ht="25.5" customHeight="1" outlineLevel="1" x14ac:dyDescent="0.25">
      <c r="B11" s="63" t="s">
        <v>20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41"/>
      <c r="AG11" s="41"/>
      <c r="AH11" s="41"/>
      <c r="AI11" s="41"/>
      <c r="AJ11" s="41"/>
      <c r="AK11" s="41"/>
      <c r="AL11" s="41"/>
    </row>
    <row r="13" spans="2:38" hidden="1" outlineLevel="1" x14ac:dyDescent="0.25">
      <c r="E13" s="12"/>
      <c r="G13" s="2"/>
      <c r="H13" s="2"/>
      <c r="I13" s="2"/>
      <c r="J13" s="2"/>
      <c r="K13" s="2"/>
      <c r="L13" s="3">
        <v>1</v>
      </c>
      <c r="N13" s="2"/>
      <c r="O13" s="4"/>
      <c r="P13" s="9">
        <v>1</v>
      </c>
      <c r="R13" s="2"/>
      <c r="S13" s="2"/>
      <c r="T13" s="9">
        <v>1</v>
      </c>
      <c r="V13" s="2"/>
      <c r="W13" s="2"/>
      <c r="X13" s="2"/>
      <c r="Y13" s="2"/>
      <c r="Z13" s="2"/>
      <c r="AA13" s="3">
        <v>1</v>
      </c>
      <c r="AC13" s="2"/>
      <c r="AE13" s="9">
        <v>1</v>
      </c>
    </row>
    <row r="14" spans="2:38" hidden="1" outlineLevel="1" x14ac:dyDescent="0.25">
      <c r="E14" s="12"/>
      <c r="G14" s="2"/>
      <c r="H14" s="2"/>
      <c r="I14" s="2"/>
      <c r="J14" s="2"/>
      <c r="K14" s="2"/>
      <c r="L14" s="2"/>
      <c r="N14" s="2"/>
      <c r="O14" s="2"/>
      <c r="P14" s="2"/>
      <c r="R14" s="2"/>
      <c r="S14" s="2"/>
      <c r="T14" s="2"/>
      <c r="V14" s="2"/>
      <c r="W14" s="2"/>
      <c r="X14" s="2"/>
      <c r="Y14" s="2"/>
      <c r="Z14" s="2"/>
      <c r="AA14" s="2"/>
      <c r="AC14" s="2"/>
      <c r="AD14" s="2"/>
    </row>
    <row r="15" spans="2:38" hidden="1" outlineLevel="1" x14ac:dyDescent="0.25">
      <c r="E15" s="12"/>
      <c r="G15" s="4"/>
      <c r="H15" s="4"/>
      <c r="I15" s="4"/>
      <c r="J15" s="4"/>
      <c r="K15" s="2"/>
      <c r="L15" s="2"/>
      <c r="N15" s="2"/>
      <c r="O15" s="2"/>
      <c r="P15" s="2"/>
      <c r="R15" s="2"/>
      <c r="S15" s="2"/>
      <c r="T15" s="2"/>
      <c r="V15" s="2"/>
      <c r="W15" s="2"/>
      <c r="X15" s="2"/>
      <c r="Y15" s="2"/>
      <c r="Z15" s="2"/>
      <c r="AA15" s="2"/>
      <c r="AC15" s="4"/>
      <c r="AD15" s="2"/>
    </row>
    <row r="16" spans="2:38" hidden="1" outlineLevel="1" x14ac:dyDescent="0.25">
      <c r="G16" s="2"/>
      <c r="H16" s="2"/>
      <c r="I16" s="2"/>
      <c r="J16" s="2"/>
      <c r="K16" s="2"/>
      <c r="L16" s="2"/>
      <c r="N16" s="2"/>
      <c r="O16" s="2"/>
      <c r="P16" s="2"/>
      <c r="R16" s="2"/>
      <c r="S16" s="2"/>
      <c r="T16" s="2"/>
      <c r="V16" s="2"/>
      <c r="W16" s="2"/>
      <c r="X16" s="2"/>
      <c r="Y16" s="2"/>
      <c r="Z16" s="2"/>
      <c r="AA16" s="2"/>
      <c r="AC16" s="2"/>
      <c r="AD16" s="2"/>
    </row>
    <row r="17" spans="1:31" ht="15" customHeight="1" collapsed="1" x14ac:dyDescent="0.25">
      <c r="B17" s="67" t="s">
        <v>3</v>
      </c>
      <c r="C17" s="68"/>
      <c r="D17" s="5"/>
      <c r="E17" s="67" t="s">
        <v>30</v>
      </c>
      <c r="F17" s="5"/>
      <c r="G17" s="66" t="s">
        <v>25</v>
      </c>
      <c r="H17" s="69"/>
      <c r="I17" s="69"/>
      <c r="J17" s="69"/>
      <c r="K17" s="69"/>
      <c r="L17" s="70"/>
      <c r="M17" s="5"/>
      <c r="N17" s="66" t="s">
        <v>24</v>
      </c>
      <c r="O17" s="69"/>
      <c r="P17" s="70"/>
      <c r="Q17" s="5"/>
      <c r="R17" s="66" t="s">
        <v>4</v>
      </c>
      <c r="S17" s="69"/>
      <c r="T17" s="70"/>
      <c r="U17" s="39"/>
      <c r="V17" s="66" t="s">
        <v>5</v>
      </c>
      <c r="W17" s="69"/>
      <c r="X17" s="69"/>
      <c r="Y17" s="69"/>
      <c r="Z17" s="69"/>
      <c r="AA17" s="70"/>
      <c r="AB17" s="39"/>
      <c r="AC17" s="67" t="s">
        <v>6</v>
      </c>
      <c r="AD17" s="74"/>
      <c r="AE17" s="74"/>
    </row>
    <row r="18" spans="1:31" x14ac:dyDescent="0.25">
      <c r="B18" s="68"/>
      <c r="C18" s="68"/>
      <c r="D18" s="6"/>
      <c r="E18" s="68"/>
      <c r="F18" s="6"/>
      <c r="G18" s="71"/>
      <c r="H18" s="72"/>
      <c r="I18" s="72"/>
      <c r="J18" s="72"/>
      <c r="K18" s="72"/>
      <c r="L18" s="73"/>
      <c r="M18" s="42"/>
      <c r="N18" s="71"/>
      <c r="O18" s="72"/>
      <c r="P18" s="73"/>
      <c r="Q18" s="42"/>
      <c r="R18" s="71"/>
      <c r="S18" s="72"/>
      <c r="T18" s="73"/>
      <c r="U18" s="43"/>
      <c r="V18" s="71"/>
      <c r="W18" s="72"/>
      <c r="X18" s="72"/>
      <c r="Y18" s="72"/>
      <c r="Z18" s="72"/>
      <c r="AA18" s="73"/>
      <c r="AB18" s="43"/>
      <c r="AC18" s="74"/>
      <c r="AD18" s="74"/>
      <c r="AE18" s="74"/>
    </row>
    <row r="19" spans="1:31" ht="25.5" x14ac:dyDescent="0.25">
      <c r="A19" s="18"/>
      <c r="B19" s="11" t="s">
        <v>7</v>
      </c>
      <c r="C19" s="11" t="s">
        <v>8</v>
      </c>
      <c r="D19" s="7"/>
      <c r="E19" s="13" t="s">
        <v>9</v>
      </c>
      <c r="F19" s="7"/>
      <c r="G19" s="10" t="s">
        <v>59</v>
      </c>
      <c r="H19" s="10" t="s">
        <v>60</v>
      </c>
      <c r="I19" s="10" t="s">
        <v>61</v>
      </c>
      <c r="J19" s="10" t="s">
        <v>62</v>
      </c>
      <c r="K19" s="10" t="s">
        <v>13</v>
      </c>
      <c r="L19" s="10" t="s">
        <v>14</v>
      </c>
      <c r="M19" s="44"/>
      <c r="N19" s="11" t="s">
        <v>15</v>
      </c>
      <c r="O19" s="10" t="s">
        <v>13</v>
      </c>
      <c r="P19" s="10" t="s">
        <v>14</v>
      </c>
      <c r="Q19" s="44"/>
      <c r="R19" s="11" t="s">
        <v>15</v>
      </c>
      <c r="S19" s="10" t="s">
        <v>13</v>
      </c>
      <c r="T19" s="10" t="s">
        <v>14</v>
      </c>
      <c r="U19" s="44"/>
      <c r="V19" s="10" t="s">
        <v>63</v>
      </c>
      <c r="W19" s="10" t="s">
        <v>64</v>
      </c>
      <c r="X19" s="11" t="s">
        <v>94</v>
      </c>
      <c r="Y19" s="10" t="s">
        <v>66</v>
      </c>
      <c r="Z19" s="10" t="s">
        <v>13</v>
      </c>
      <c r="AA19" s="10" t="s">
        <v>14</v>
      </c>
      <c r="AB19" s="44"/>
      <c r="AC19" s="11" t="s">
        <v>15</v>
      </c>
      <c r="AD19" s="10" t="s">
        <v>13</v>
      </c>
      <c r="AE19" s="10" t="s">
        <v>14</v>
      </c>
    </row>
    <row r="20" spans="1:31" x14ac:dyDescent="0.25">
      <c r="A20" s="18"/>
      <c r="B20" s="5">
        <f>RANK(C20,C$20:C$24,0)</f>
        <v>1</v>
      </c>
      <c r="C20" s="5">
        <f>SUMIF($G$13:$AE$13,1,$G20:$AE20)</f>
        <v>500</v>
      </c>
      <c r="D20" s="8"/>
      <c r="E20" s="19" t="s">
        <v>38</v>
      </c>
      <c r="F20" s="8"/>
      <c r="G20" s="5">
        <v>45</v>
      </c>
      <c r="H20" s="5">
        <v>47</v>
      </c>
      <c r="I20" s="5">
        <v>48</v>
      </c>
      <c r="J20" s="5">
        <f>G20+H20+I20</f>
        <v>140</v>
      </c>
      <c r="K20" s="5">
        <f>RANK(J20,J$20:J$24,0)</f>
        <v>1</v>
      </c>
      <c r="L20" s="5">
        <f>VLOOKUP(K20,'Место-баллы'!$A$3:$B$52,2,0)</f>
        <v>100</v>
      </c>
      <c r="M20" s="45"/>
      <c r="N20" s="5">
        <f>16+23+22</f>
        <v>61</v>
      </c>
      <c r="O20" s="5">
        <f>RANK(N20,N$20:N$24,0)</f>
        <v>1</v>
      </c>
      <c r="P20" s="5">
        <f>VLOOKUP(O20,'Место-баллы'!$A$3:$B$52,2,0)</f>
        <v>100</v>
      </c>
      <c r="Q20" s="45"/>
      <c r="R20" s="5">
        <v>156</v>
      </c>
      <c r="S20" s="5">
        <f>RANK(R20,R$20:R$24,0)</f>
        <v>1</v>
      </c>
      <c r="T20" s="5">
        <f>VLOOKUP(S20,'Место-баллы'!$A$3:$B$52,2,0)</f>
        <v>100</v>
      </c>
      <c r="U20" s="45"/>
      <c r="V20" s="5">
        <v>18</v>
      </c>
      <c r="W20" s="5">
        <v>15</v>
      </c>
      <c r="X20" s="5">
        <v>34</v>
      </c>
      <c r="Y20" s="5">
        <f>V20+W20+X20</f>
        <v>67</v>
      </c>
      <c r="Z20" s="5">
        <f>RANK(Y20,Y$20:Y$24,0)</f>
        <v>1</v>
      </c>
      <c r="AA20" s="5">
        <f>VLOOKUP(Z20,'Место-баллы'!$A$3:$B$52,2,0)</f>
        <v>100</v>
      </c>
      <c r="AB20" s="45"/>
      <c r="AC20" s="5">
        <f>384+21</f>
        <v>405</v>
      </c>
      <c r="AD20" s="5">
        <f>RANK(AC20,AC$20:AC$24,0)</f>
        <v>1</v>
      </c>
      <c r="AE20" s="5">
        <f>VLOOKUP(AD20,'Место-баллы'!$A$3:$B$52,2,0)</f>
        <v>100</v>
      </c>
    </row>
    <row r="21" spans="1:31" x14ac:dyDescent="0.25">
      <c r="A21" s="18"/>
      <c r="B21" s="5">
        <f>RANK(C21,C$20:C$24,0)</f>
        <v>2</v>
      </c>
      <c r="C21" s="5">
        <f>SUMIF($G$13:$AE$13,1,$G21:$AE21)</f>
        <v>485</v>
      </c>
      <c r="D21" s="8"/>
      <c r="E21" s="19" t="s">
        <v>35</v>
      </c>
      <c r="F21" s="8"/>
      <c r="G21" s="5">
        <v>40</v>
      </c>
      <c r="H21" s="5">
        <v>42</v>
      </c>
      <c r="I21" s="5">
        <v>43</v>
      </c>
      <c r="J21" s="5">
        <f>G21+H21+I21</f>
        <v>125</v>
      </c>
      <c r="K21" s="5">
        <f>RANK(J21,J$20:J$24,0)</f>
        <v>2</v>
      </c>
      <c r="L21" s="5">
        <f>VLOOKUP(K21,'Место-баллы'!$A$3:$B$52,2,0)</f>
        <v>95</v>
      </c>
      <c r="M21" s="45"/>
      <c r="N21" s="5">
        <f>14+23+24</f>
        <v>61</v>
      </c>
      <c r="O21" s="5">
        <f>RANK(N21,N$20:N$24,0)</f>
        <v>1</v>
      </c>
      <c r="P21" s="5">
        <f>VLOOKUP(O21,'Место-баллы'!$A$3:$B$52,2,0)</f>
        <v>100</v>
      </c>
      <c r="Q21" s="45"/>
      <c r="R21" s="5">
        <v>156</v>
      </c>
      <c r="S21" s="5">
        <f>RANK(R21,R$20:R$24,0)</f>
        <v>1</v>
      </c>
      <c r="T21" s="5">
        <f>VLOOKUP(S21,'Место-баллы'!$A$3:$B$52,2,0)</f>
        <v>100</v>
      </c>
      <c r="U21" s="45"/>
      <c r="V21" s="5">
        <v>10</v>
      </c>
      <c r="W21" s="5">
        <v>17</v>
      </c>
      <c r="X21" s="5">
        <v>30</v>
      </c>
      <c r="Y21" s="5">
        <f>V21+W21+X21</f>
        <v>57</v>
      </c>
      <c r="Z21" s="5">
        <f>RANK(Y21,Y$20:Y$24,0)</f>
        <v>2</v>
      </c>
      <c r="AA21" s="5">
        <f>VLOOKUP(Z21,'Место-баллы'!$A$3:$B$52,2,0)</f>
        <v>95</v>
      </c>
      <c r="AB21" s="45"/>
      <c r="AC21" s="5">
        <f>320+47</f>
        <v>367</v>
      </c>
      <c r="AD21" s="5">
        <f>RANK(AC21,AC$20:AC$24,0)</f>
        <v>2</v>
      </c>
      <c r="AE21" s="5">
        <f>VLOOKUP(AD21,'Место-баллы'!$A$3:$B$52,2,0)</f>
        <v>95</v>
      </c>
    </row>
    <row r="22" spans="1:31" x14ac:dyDescent="0.25">
      <c r="A22" s="18"/>
      <c r="B22" s="5">
        <f>RANK(C22,C$20:C$24,0)</f>
        <v>3</v>
      </c>
      <c r="C22" s="5">
        <f>SUMIF($G$13:$AE$13,1,$G22:$AE22)</f>
        <v>450</v>
      </c>
      <c r="D22" s="8"/>
      <c r="E22" s="19" t="s">
        <v>73</v>
      </c>
      <c r="F22" s="8"/>
      <c r="G22" s="5">
        <v>42</v>
      </c>
      <c r="H22" s="5">
        <v>43</v>
      </c>
      <c r="I22" s="5">
        <v>0</v>
      </c>
      <c r="J22" s="5">
        <f>G22+H22+I22</f>
        <v>85</v>
      </c>
      <c r="K22" s="5">
        <f>RANK(J22,J$20:J$24,0)</f>
        <v>4</v>
      </c>
      <c r="L22" s="5">
        <f>VLOOKUP(K22,'Место-баллы'!$A$3:$B$52,2,0)</f>
        <v>85</v>
      </c>
      <c r="M22" s="45"/>
      <c r="N22" s="5">
        <f>13+24+22</f>
        <v>59</v>
      </c>
      <c r="O22" s="5">
        <f>RANK(N22,N$20:N$24,0)</f>
        <v>3</v>
      </c>
      <c r="P22" s="5">
        <f>VLOOKUP(O22,'Место-баллы'!$A$3:$B$52,2,0)</f>
        <v>90</v>
      </c>
      <c r="Q22" s="45"/>
      <c r="R22" s="5">
        <v>115</v>
      </c>
      <c r="S22" s="5">
        <f>RANK(R22,R$20:R$24,0)</f>
        <v>3</v>
      </c>
      <c r="T22" s="5">
        <f>VLOOKUP(S22,'Место-баллы'!$A$3:$B$52,2,0)</f>
        <v>90</v>
      </c>
      <c r="U22" s="45"/>
      <c r="V22" s="5">
        <v>14</v>
      </c>
      <c r="W22" s="5">
        <v>16</v>
      </c>
      <c r="X22" s="5">
        <v>27</v>
      </c>
      <c r="Y22" s="5">
        <f>V22+W22+X22</f>
        <v>57</v>
      </c>
      <c r="Z22" s="5">
        <f>RANK(Y22,Y$20:Y$24,0)</f>
        <v>2</v>
      </c>
      <c r="AA22" s="5">
        <f>VLOOKUP(Z22,'Место-баллы'!$A$3:$B$52,2,0)</f>
        <v>95</v>
      </c>
      <c r="AB22" s="45"/>
      <c r="AC22" s="5">
        <f>320+42</f>
        <v>362</v>
      </c>
      <c r="AD22" s="5">
        <f>RANK(AC22,AC$20:AC$24,0)</f>
        <v>3</v>
      </c>
      <c r="AE22" s="5">
        <f>VLOOKUP(AD22,'Место-баллы'!$A$3:$B$52,2,0)</f>
        <v>90</v>
      </c>
    </row>
    <row r="23" spans="1:31" ht="15.75" customHeight="1" x14ac:dyDescent="0.25">
      <c r="A23" s="18"/>
      <c r="B23" s="5">
        <f>RANK(C23,C$20:C$24,0)</f>
        <v>4</v>
      </c>
      <c r="C23" s="5">
        <f>SUMIF($G$13:$AE$13,1,$G23:$AE23)</f>
        <v>415</v>
      </c>
      <c r="D23" s="8"/>
      <c r="E23" s="19" t="s">
        <v>36</v>
      </c>
      <c r="F23" s="8"/>
      <c r="G23" s="5">
        <v>35</v>
      </c>
      <c r="H23" s="5">
        <v>35</v>
      </c>
      <c r="I23" s="5">
        <v>0</v>
      </c>
      <c r="J23" s="5">
        <f>G23+H23+I23</f>
        <v>70</v>
      </c>
      <c r="K23" s="5">
        <f>RANK(J23,J$20:J$24,0)</f>
        <v>5</v>
      </c>
      <c r="L23" s="5">
        <f>VLOOKUP(K23,'Место-баллы'!$A$3:$B$52,2,0)</f>
        <v>80</v>
      </c>
      <c r="M23" s="45"/>
      <c r="N23" s="5">
        <f>11+21+20</f>
        <v>52</v>
      </c>
      <c r="O23" s="5">
        <f>RANK(N23,N$20:N$24,0)</f>
        <v>4</v>
      </c>
      <c r="P23" s="5">
        <f>VLOOKUP(O23,'Место-баллы'!$A$3:$B$52,2,0)</f>
        <v>85</v>
      </c>
      <c r="Q23" s="45"/>
      <c r="R23" s="5">
        <v>108</v>
      </c>
      <c r="S23" s="5">
        <f>RANK(R23,R$20:R$24,0)</f>
        <v>4</v>
      </c>
      <c r="T23" s="5">
        <f>VLOOKUP(S23,'Место-баллы'!$A$3:$B$52,2,0)</f>
        <v>85</v>
      </c>
      <c r="U23" s="45"/>
      <c r="V23" s="5">
        <v>2</v>
      </c>
      <c r="W23" s="5">
        <v>6</v>
      </c>
      <c r="X23" s="5">
        <v>28</v>
      </c>
      <c r="Y23" s="5">
        <f>V23+W23+X23</f>
        <v>36</v>
      </c>
      <c r="Z23" s="5">
        <f>RANK(Y23,Y$20:Y$24,0)</f>
        <v>5</v>
      </c>
      <c r="AA23" s="5">
        <f>VLOOKUP(Z23,'Место-баллы'!$A$3:$B$52,2,0)</f>
        <v>80</v>
      </c>
      <c r="AB23" s="45"/>
      <c r="AC23" s="5">
        <v>312</v>
      </c>
      <c r="AD23" s="5">
        <f>RANK(AC23,AC$20:AC$24,0)</f>
        <v>4</v>
      </c>
      <c r="AE23" s="5">
        <f>VLOOKUP(AD23,'Место-баллы'!$A$3:$B$52,2,0)</f>
        <v>85</v>
      </c>
    </row>
    <row r="24" spans="1:31" ht="15.75" customHeight="1" x14ac:dyDescent="0.25">
      <c r="B24" s="5">
        <v>5</v>
      </c>
      <c r="C24" s="5">
        <f>SUMIF($G$13:$AE$13,1,$G24:$AE24)</f>
        <v>415</v>
      </c>
      <c r="D24" s="8"/>
      <c r="E24" s="19" t="s">
        <v>37</v>
      </c>
      <c r="F24" s="8"/>
      <c r="G24" s="5">
        <v>30</v>
      </c>
      <c r="H24" s="5">
        <v>35</v>
      </c>
      <c r="I24" s="5">
        <v>35</v>
      </c>
      <c r="J24" s="5">
        <f>G24+H24+I24</f>
        <v>100</v>
      </c>
      <c r="K24" s="5">
        <f>RANK(J24,J$20:J$24,0)</f>
        <v>3</v>
      </c>
      <c r="L24" s="5">
        <f>VLOOKUP(K24,'Место-баллы'!$A$3:$B$52,2,0)</f>
        <v>90</v>
      </c>
      <c r="M24" s="45"/>
      <c r="N24" s="5">
        <f>11+18+19</f>
        <v>48</v>
      </c>
      <c r="O24" s="5">
        <f>RANK(N24,N$20:N$24,0)</f>
        <v>5</v>
      </c>
      <c r="P24" s="5">
        <f>VLOOKUP(O24,'Место-баллы'!$A$3:$B$52,2,0)</f>
        <v>80</v>
      </c>
      <c r="Q24" s="45"/>
      <c r="R24" s="5">
        <v>98</v>
      </c>
      <c r="S24" s="5">
        <f>RANK(R24,R$20:R$24,0)</f>
        <v>5</v>
      </c>
      <c r="T24" s="5">
        <f>VLOOKUP(S24,'Место-баллы'!$A$3:$B$52,2,0)</f>
        <v>80</v>
      </c>
      <c r="U24" s="45"/>
      <c r="V24" s="5">
        <v>1</v>
      </c>
      <c r="W24" s="5">
        <v>13</v>
      </c>
      <c r="X24" s="5">
        <v>27</v>
      </c>
      <c r="Y24" s="5">
        <f>V24+W24+X24</f>
        <v>41</v>
      </c>
      <c r="Z24" s="5">
        <f>RANK(Y24,Y$20:Y$24,0)</f>
        <v>4</v>
      </c>
      <c r="AA24" s="5">
        <f>VLOOKUP(Z24,'Место-баллы'!$A$3:$B$52,2,0)</f>
        <v>85</v>
      </c>
      <c r="AB24" s="45"/>
      <c r="AC24" s="5">
        <f>192+5</f>
        <v>197</v>
      </c>
      <c r="AD24" s="5">
        <f>RANK(AC24,AC$20:AC$24,0)</f>
        <v>5</v>
      </c>
      <c r="AE24" s="5">
        <f>VLOOKUP(AD24,'Место-баллы'!$A$3:$B$52,2,0)</f>
        <v>80</v>
      </c>
    </row>
    <row r="25" spans="1:31" ht="15.75" customHeight="1" x14ac:dyDescent="0.25">
      <c r="D25" s="46"/>
      <c r="E25" s="47"/>
      <c r="F25" s="46"/>
      <c r="G25" s="48"/>
      <c r="H25" s="48"/>
      <c r="I25" s="48"/>
      <c r="J25" s="48"/>
      <c r="K25" s="48"/>
      <c r="L25" s="48"/>
      <c r="M25" s="49"/>
      <c r="N25" s="48"/>
      <c r="O25" s="48"/>
      <c r="P25" s="48"/>
      <c r="Q25" s="49"/>
      <c r="R25" s="48"/>
      <c r="S25" s="48"/>
      <c r="T25" s="48"/>
      <c r="U25" s="49"/>
      <c r="V25" s="48"/>
      <c r="W25" s="48"/>
      <c r="X25" s="48"/>
      <c r="Y25" s="48"/>
      <c r="Z25" s="48"/>
      <c r="AA25" s="48"/>
      <c r="AB25" s="49"/>
      <c r="AC25" s="48"/>
      <c r="AD25" s="48"/>
      <c r="AE25" s="48"/>
    </row>
    <row r="26" spans="1:31" ht="15.75" customHeight="1" outlineLevel="1" x14ac:dyDescent="0.35">
      <c r="B26" s="40" t="s">
        <v>22</v>
      </c>
      <c r="C26" s="40"/>
      <c r="D26" s="40"/>
      <c r="E26" s="40"/>
      <c r="F26" s="40"/>
      <c r="G26" s="40"/>
      <c r="H26" s="40"/>
      <c r="I26" s="40"/>
    </row>
    <row r="27" spans="1:31" ht="15.75" customHeight="1" outlineLevel="1" x14ac:dyDescent="0.25">
      <c r="B27" s="16"/>
      <c r="C27" s="16"/>
      <c r="D27" s="16"/>
      <c r="E27" s="16"/>
    </row>
    <row r="28" spans="1:31" ht="15.75" customHeight="1" outlineLevel="1" x14ac:dyDescent="0.35">
      <c r="B28" s="40" t="s">
        <v>23</v>
      </c>
      <c r="C28" s="40"/>
      <c r="D28" s="40"/>
      <c r="E28" s="40"/>
      <c r="F28" s="40"/>
      <c r="G28" s="40"/>
      <c r="H28" s="40"/>
      <c r="I28" s="40"/>
    </row>
    <row r="29" spans="1:31" ht="15.75" customHeight="1" x14ac:dyDescent="0.25"/>
    <row r="30" spans="1:31" ht="15.75" customHeight="1" x14ac:dyDescent="0.25"/>
    <row r="31" spans="1:31" ht="15.75" customHeight="1" x14ac:dyDescent="0.25"/>
    <row r="32" spans="1:3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</sheetData>
  <autoFilter ref="B19:AE19" xr:uid="{74757BEC-E510-452F-94B0-5EA442BC385D}">
    <sortState ref="B20:AE24">
      <sortCondition ref="B19"/>
    </sortState>
  </autoFilter>
  <mergeCells count="16">
    <mergeCell ref="B7:AE7"/>
    <mergeCell ref="N17:P18"/>
    <mergeCell ref="R17:T18"/>
    <mergeCell ref="V17:AA18"/>
    <mergeCell ref="AC17:AE18"/>
    <mergeCell ref="B8:AE8"/>
    <mergeCell ref="B9:AE9"/>
    <mergeCell ref="B11:AE11"/>
    <mergeCell ref="B17:C18"/>
    <mergeCell ref="E17:E18"/>
    <mergeCell ref="G17:L18"/>
    <mergeCell ref="B1:AE1"/>
    <mergeCell ref="B2:AE2"/>
    <mergeCell ref="B3:AE3"/>
    <mergeCell ref="B4:AE4"/>
    <mergeCell ref="B6:AE6"/>
  </mergeCells>
  <printOptions horizontalCentered="1" verticalCentered="1"/>
  <pageMargins left="0" right="0" top="0" bottom="0" header="0" footer="0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DADFE-C5AC-49D7-AE71-466DB37A50BA}">
  <sheetPr>
    <pageSetUpPr fitToPage="1"/>
  </sheetPr>
  <dimension ref="A1:AL84"/>
  <sheetViews>
    <sheetView zoomScaleNormal="100" workbookViewId="0">
      <selection activeCell="E10" sqref="E10"/>
    </sheetView>
  </sheetViews>
  <sheetFormatPr defaultColWidth="14.42578125" defaultRowHeight="15" customHeight="1" outlineLevelRow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0.28515625" bestFit="1" customWidth="1"/>
    <col min="6" max="6" width="1.42578125" customWidth="1"/>
    <col min="7" max="9" width="5.5703125" customWidth="1" outlineLevel="1"/>
    <col min="10" max="10" width="7.85546875" bestFit="1" customWidth="1"/>
    <col min="11" max="11" width="7.140625" bestFit="1" customWidth="1"/>
    <col min="12" max="12" width="6.85546875" bestFit="1" customWidth="1"/>
    <col min="13" max="13" width="1.42578125" customWidth="1"/>
    <col min="14" max="14" width="6.85546875" customWidth="1"/>
    <col min="15" max="15" width="7.140625" bestFit="1" customWidth="1"/>
    <col min="16" max="16" width="6.85546875" bestFit="1" customWidth="1"/>
    <col min="17" max="17" width="1.42578125" customWidth="1"/>
    <col min="18" max="18" width="6.85546875" customWidth="1"/>
    <col min="19" max="19" width="7.140625" bestFit="1" customWidth="1"/>
    <col min="20" max="20" width="6.85546875" bestFit="1" customWidth="1"/>
    <col min="21" max="21" width="1.42578125" customWidth="1"/>
    <col min="22" max="22" width="6.5703125" customWidth="1" outlineLevel="1"/>
    <col min="23" max="23" width="9.140625" customWidth="1" outlineLevel="1"/>
    <col min="24" max="24" width="8" customWidth="1" outlineLevel="1"/>
    <col min="25" max="25" width="7" bestFit="1" customWidth="1"/>
    <col min="26" max="26" width="7.140625" customWidth="1"/>
    <col min="27" max="27" width="6.85546875" customWidth="1"/>
    <col min="28" max="28" width="1.42578125" customWidth="1"/>
    <col min="29" max="29" width="6.85546875" customWidth="1"/>
    <col min="30" max="30" width="7.140625" bestFit="1" customWidth="1"/>
    <col min="31" max="31" width="6.85546875" bestFit="1" customWidth="1"/>
    <col min="32" max="32" width="6.85546875" customWidth="1"/>
    <col min="33" max="33" width="7.140625" bestFit="1" customWidth="1"/>
    <col min="34" max="34" width="6.85546875" bestFit="1" customWidth="1"/>
    <col min="35" max="35" width="1.42578125" customWidth="1"/>
    <col min="36" max="36" width="6.85546875" customWidth="1"/>
    <col min="37" max="37" width="7.140625" bestFit="1" customWidth="1"/>
    <col min="38" max="38" width="6.85546875" bestFit="1" customWidth="1"/>
  </cols>
  <sheetData>
    <row r="1" spans="2:38" ht="15" customHeight="1" outlineLevel="1" x14ac:dyDescent="0.25">
      <c r="B1" s="64" t="s">
        <v>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36"/>
      <c r="AG1" s="36"/>
      <c r="AH1" s="36"/>
      <c r="AI1" s="36"/>
      <c r="AJ1" s="36"/>
      <c r="AK1" s="36"/>
      <c r="AL1" s="36"/>
    </row>
    <row r="2" spans="2:38" ht="15" customHeight="1" outlineLevel="1" x14ac:dyDescent="0.25">
      <c r="B2" s="64" t="s">
        <v>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36"/>
      <c r="AG2" s="36"/>
      <c r="AH2" s="36"/>
      <c r="AI2" s="36"/>
      <c r="AJ2" s="36"/>
      <c r="AK2" s="36"/>
      <c r="AL2" s="36"/>
    </row>
    <row r="3" spans="2:38" ht="15" customHeight="1" outlineLevel="1" x14ac:dyDescent="0.25">
      <c r="B3" s="64" t="s">
        <v>21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36"/>
      <c r="AG3" s="36"/>
      <c r="AH3" s="36"/>
      <c r="AI3" s="36"/>
      <c r="AJ3" s="36"/>
      <c r="AK3" s="36"/>
      <c r="AL3" s="36"/>
    </row>
    <row r="4" spans="2:38" ht="15" customHeight="1" outlineLevel="1" x14ac:dyDescent="0.25">
      <c r="B4" s="65" t="s">
        <v>19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37"/>
      <c r="AG4" s="37"/>
      <c r="AH4" s="37"/>
      <c r="AI4" s="37"/>
      <c r="AJ4" s="37"/>
      <c r="AK4" s="37"/>
      <c r="AL4" s="37"/>
    </row>
    <row r="5" spans="2:38" ht="15" customHeight="1" outlineLevel="1" x14ac:dyDescent="0.25"/>
    <row r="6" spans="2:38" ht="18.75" customHeight="1" outlineLevel="1" x14ac:dyDescent="0.25">
      <c r="B6" s="62" t="s">
        <v>92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38"/>
      <c r="AG6" s="38"/>
      <c r="AH6" s="38"/>
      <c r="AI6" s="38"/>
      <c r="AJ6" s="38"/>
      <c r="AK6" s="38"/>
      <c r="AL6" s="38"/>
    </row>
    <row r="7" spans="2:38" ht="18.75" customHeight="1" outlineLevel="1" x14ac:dyDescent="0.25">
      <c r="B7" s="62" t="s">
        <v>93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38"/>
      <c r="AG7" s="38"/>
      <c r="AH7" s="38"/>
      <c r="AI7" s="38"/>
      <c r="AJ7" s="38"/>
      <c r="AK7" s="38"/>
      <c r="AL7" s="38"/>
    </row>
    <row r="8" spans="2:38" ht="18.75" customHeight="1" outlineLevel="1" x14ac:dyDescent="0.25">
      <c r="B8" s="62" t="s">
        <v>46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38"/>
      <c r="AG8" s="38"/>
      <c r="AH8" s="38"/>
      <c r="AI8" s="38"/>
      <c r="AJ8" s="38"/>
      <c r="AK8" s="38"/>
      <c r="AL8" s="38"/>
    </row>
    <row r="9" spans="2:38" ht="18.75" customHeight="1" outlineLevel="1" x14ac:dyDescent="0.25">
      <c r="B9" s="62" t="s">
        <v>91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38"/>
      <c r="AG9" s="38"/>
      <c r="AH9" s="38"/>
      <c r="AI9" s="38"/>
      <c r="AJ9" s="38"/>
      <c r="AK9" s="38"/>
      <c r="AL9" s="38"/>
    </row>
    <row r="10" spans="2:38" ht="15" customHeight="1" outlineLevel="1" x14ac:dyDescent="0.3">
      <c r="I10" s="15"/>
    </row>
    <row r="11" spans="2:38" ht="25.5" customHeight="1" outlineLevel="1" x14ac:dyDescent="0.25">
      <c r="B11" s="63" t="s">
        <v>20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41"/>
      <c r="AG11" s="41"/>
      <c r="AH11" s="41"/>
      <c r="AI11" s="41"/>
      <c r="AJ11" s="41"/>
      <c r="AK11" s="41"/>
      <c r="AL11" s="41"/>
    </row>
    <row r="13" spans="2:38" hidden="1" outlineLevel="1" x14ac:dyDescent="0.25">
      <c r="E13" s="12"/>
      <c r="G13" s="2"/>
      <c r="H13" s="2"/>
      <c r="I13" s="2"/>
      <c r="J13" s="2"/>
      <c r="K13" s="2"/>
      <c r="L13" s="3">
        <v>1</v>
      </c>
      <c r="N13" s="2"/>
      <c r="O13" s="4"/>
      <c r="P13" s="9">
        <v>1</v>
      </c>
      <c r="R13" s="2"/>
      <c r="S13" s="2"/>
      <c r="T13" s="9">
        <v>1</v>
      </c>
      <c r="V13" s="2"/>
      <c r="W13" s="2"/>
      <c r="X13" s="2"/>
      <c r="Y13" s="2"/>
      <c r="Z13" s="2"/>
      <c r="AA13" s="3">
        <v>1</v>
      </c>
      <c r="AC13" s="2"/>
      <c r="AE13" s="9">
        <v>1</v>
      </c>
    </row>
    <row r="14" spans="2:38" hidden="1" outlineLevel="1" x14ac:dyDescent="0.25">
      <c r="E14" s="12"/>
      <c r="G14" s="2"/>
      <c r="H14" s="2"/>
      <c r="I14" s="2"/>
      <c r="J14" s="2"/>
      <c r="K14" s="2"/>
      <c r="L14" s="2"/>
      <c r="N14" s="2"/>
      <c r="O14" s="2"/>
      <c r="P14" s="2"/>
      <c r="R14" s="2"/>
      <c r="S14" s="2"/>
      <c r="T14" s="2"/>
      <c r="V14" s="2"/>
      <c r="W14" s="2"/>
      <c r="X14" s="2"/>
      <c r="Y14" s="2"/>
      <c r="Z14" s="2"/>
      <c r="AA14" s="2"/>
      <c r="AC14" s="2"/>
      <c r="AD14" s="2"/>
    </row>
    <row r="15" spans="2:38" hidden="1" outlineLevel="1" x14ac:dyDescent="0.25">
      <c r="E15" s="12"/>
      <c r="G15" s="4"/>
      <c r="H15" s="4"/>
      <c r="I15" s="4"/>
      <c r="J15" s="4"/>
      <c r="K15" s="2"/>
      <c r="L15" s="2"/>
      <c r="N15" s="2"/>
      <c r="O15" s="2"/>
      <c r="P15" s="2"/>
      <c r="R15" s="2"/>
      <c r="S15" s="2"/>
      <c r="T15" s="2"/>
      <c r="V15" s="2"/>
      <c r="W15" s="2"/>
      <c r="X15" s="2"/>
      <c r="Y15" s="2"/>
      <c r="Z15" s="2"/>
      <c r="AA15" s="2"/>
      <c r="AC15" s="4"/>
      <c r="AD15" s="2"/>
    </row>
    <row r="16" spans="2:38" hidden="1" outlineLevel="1" x14ac:dyDescent="0.25">
      <c r="G16" s="2"/>
      <c r="H16" s="2"/>
      <c r="I16" s="2"/>
      <c r="J16" s="2"/>
      <c r="K16" s="2"/>
      <c r="L16" s="2"/>
      <c r="N16" s="2"/>
      <c r="O16" s="2"/>
      <c r="P16" s="2"/>
      <c r="R16" s="2"/>
      <c r="S16" s="2"/>
      <c r="T16" s="2"/>
      <c r="V16" s="2"/>
      <c r="W16" s="2"/>
      <c r="X16" s="2"/>
      <c r="Y16" s="2"/>
      <c r="Z16" s="2"/>
      <c r="AA16" s="2"/>
      <c r="AC16" s="2"/>
      <c r="AD16" s="2"/>
    </row>
    <row r="17" spans="1:31" ht="15" customHeight="1" collapsed="1" x14ac:dyDescent="0.25">
      <c r="B17" s="67" t="s">
        <v>3</v>
      </c>
      <c r="C17" s="68"/>
      <c r="D17" s="5"/>
      <c r="E17" s="67" t="s">
        <v>90</v>
      </c>
      <c r="F17" s="5"/>
      <c r="G17" s="66" t="s">
        <v>25</v>
      </c>
      <c r="H17" s="69"/>
      <c r="I17" s="69"/>
      <c r="J17" s="69"/>
      <c r="K17" s="69"/>
      <c r="L17" s="70"/>
      <c r="M17" s="5"/>
      <c r="N17" s="66" t="s">
        <v>24</v>
      </c>
      <c r="O17" s="69"/>
      <c r="P17" s="70"/>
      <c r="Q17" s="5"/>
      <c r="R17" s="66" t="s">
        <v>4</v>
      </c>
      <c r="S17" s="69"/>
      <c r="T17" s="70"/>
      <c r="U17" s="39"/>
      <c r="V17" s="66" t="s">
        <v>5</v>
      </c>
      <c r="W17" s="69"/>
      <c r="X17" s="69"/>
      <c r="Y17" s="69"/>
      <c r="Z17" s="69"/>
      <c r="AA17" s="70"/>
      <c r="AB17" s="39"/>
      <c r="AC17" s="67" t="s">
        <v>6</v>
      </c>
      <c r="AD17" s="74"/>
      <c r="AE17" s="74"/>
    </row>
    <row r="18" spans="1:31" x14ac:dyDescent="0.25">
      <c r="B18" s="68"/>
      <c r="C18" s="68"/>
      <c r="D18" s="6"/>
      <c r="E18" s="68"/>
      <c r="F18" s="6"/>
      <c r="G18" s="71"/>
      <c r="H18" s="72"/>
      <c r="I18" s="72"/>
      <c r="J18" s="72"/>
      <c r="K18" s="72"/>
      <c r="L18" s="73"/>
      <c r="M18" s="42"/>
      <c r="N18" s="71"/>
      <c r="O18" s="72"/>
      <c r="P18" s="73"/>
      <c r="Q18" s="42"/>
      <c r="R18" s="71"/>
      <c r="S18" s="72"/>
      <c r="T18" s="73"/>
      <c r="U18" s="43"/>
      <c r="V18" s="71"/>
      <c r="W18" s="72"/>
      <c r="X18" s="72"/>
      <c r="Y18" s="72"/>
      <c r="Z18" s="72"/>
      <c r="AA18" s="73"/>
      <c r="AB18" s="43"/>
      <c r="AC18" s="74"/>
      <c r="AD18" s="74"/>
      <c r="AE18" s="74"/>
    </row>
    <row r="19" spans="1:31" ht="25.5" x14ac:dyDescent="0.25">
      <c r="A19" s="18"/>
      <c r="B19" s="11" t="s">
        <v>7</v>
      </c>
      <c r="C19" s="11" t="s">
        <v>8</v>
      </c>
      <c r="D19" s="7"/>
      <c r="E19" s="13" t="s">
        <v>9</v>
      </c>
      <c r="F19" s="7"/>
      <c r="G19" s="10" t="s">
        <v>59</v>
      </c>
      <c r="H19" s="10" t="s">
        <v>60</v>
      </c>
      <c r="I19" s="10" t="s">
        <v>61</v>
      </c>
      <c r="J19" s="10" t="s">
        <v>62</v>
      </c>
      <c r="K19" s="10" t="s">
        <v>13</v>
      </c>
      <c r="L19" s="10" t="s">
        <v>14</v>
      </c>
      <c r="M19" s="44"/>
      <c r="N19" s="11" t="s">
        <v>15</v>
      </c>
      <c r="O19" s="10" t="s">
        <v>13</v>
      </c>
      <c r="P19" s="10" t="s">
        <v>14</v>
      </c>
      <c r="Q19" s="44"/>
      <c r="R19" s="11" t="s">
        <v>15</v>
      </c>
      <c r="S19" s="10" t="s">
        <v>13</v>
      </c>
      <c r="T19" s="10" t="s">
        <v>14</v>
      </c>
      <c r="U19" s="44"/>
      <c r="V19" s="10" t="s">
        <v>63</v>
      </c>
      <c r="W19" s="10" t="s">
        <v>64</v>
      </c>
      <c r="X19" s="11" t="s">
        <v>94</v>
      </c>
      <c r="Y19" s="10" t="s">
        <v>66</v>
      </c>
      <c r="Z19" s="10" t="s">
        <v>13</v>
      </c>
      <c r="AA19" s="10" t="s">
        <v>14</v>
      </c>
      <c r="AB19" s="44"/>
      <c r="AC19" s="11" t="s">
        <v>15</v>
      </c>
      <c r="AD19" s="10" t="s">
        <v>13</v>
      </c>
      <c r="AE19" s="10" t="s">
        <v>14</v>
      </c>
    </row>
    <row r="20" spans="1:31" x14ac:dyDescent="0.25">
      <c r="A20" s="18"/>
      <c r="B20" s="5">
        <f>RANK(C20,C$20:C$21,0)</f>
        <v>1</v>
      </c>
      <c r="C20" s="5">
        <f>SUMIF($G$13:$AE$13,1,$G20:$AE20)</f>
        <v>500</v>
      </c>
      <c r="D20" s="8"/>
      <c r="E20" s="19" t="s">
        <v>74</v>
      </c>
      <c r="F20" s="8"/>
      <c r="G20" s="5">
        <v>45</v>
      </c>
      <c r="H20" s="5">
        <v>40</v>
      </c>
      <c r="I20" s="5">
        <v>40</v>
      </c>
      <c r="J20" s="5">
        <f t="shared" ref="J20" si="0">G20+H20+I20</f>
        <v>125</v>
      </c>
      <c r="K20" s="5">
        <f>RANK(J20,J$20:J$21,0)</f>
        <v>1</v>
      </c>
      <c r="L20" s="5">
        <f>VLOOKUP(K20,'Место-баллы'!$A$3:$B$52,2,0)</f>
        <v>100</v>
      </c>
      <c r="M20" s="45"/>
      <c r="N20" s="5">
        <f>17+28+27</f>
        <v>72</v>
      </c>
      <c r="O20" s="5">
        <f>RANK(N20,N$20:N$21,0)</f>
        <v>1</v>
      </c>
      <c r="P20" s="5">
        <f>VLOOKUP(O20,'Место-баллы'!$A$3:$B$52,2,0)</f>
        <v>100</v>
      </c>
      <c r="Q20" s="45"/>
      <c r="R20" s="5">
        <v>152</v>
      </c>
      <c r="S20" s="5">
        <f>RANK(R20,R$20:R$21,0)</f>
        <v>1</v>
      </c>
      <c r="T20" s="5">
        <f>VLOOKUP(S20,'Место-баллы'!$A$3:$B$52,2,0)</f>
        <v>100</v>
      </c>
      <c r="U20" s="45"/>
      <c r="V20" s="5">
        <v>17</v>
      </c>
      <c r="W20" s="5">
        <v>15</v>
      </c>
      <c r="X20" s="5">
        <v>27</v>
      </c>
      <c r="Y20" s="5">
        <f t="shared" ref="Y20:Y21" si="1">V20+W20+X20</f>
        <v>59</v>
      </c>
      <c r="Z20" s="5">
        <f>RANK(Y20,Y$20:Y$21,0)</f>
        <v>1</v>
      </c>
      <c r="AA20" s="5">
        <f>VLOOKUP(Z20,'Место-баллы'!$A$3:$B$52,2,0)</f>
        <v>100</v>
      </c>
      <c r="AB20" s="45"/>
      <c r="AC20" s="5">
        <v>249</v>
      </c>
      <c r="AD20" s="5">
        <f>RANK(AC20,AC$20:AC$21,0)</f>
        <v>1</v>
      </c>
      <c r="AE20" s="5">
        <f>VLOOKUP(AD20,'Место-баллы'!$A$3:$B$52,2,0)</f>
        <v>100</v>
      </c>
    </row>
    <row r="21" spans="1:31" x14ac:dyDescent="0.25">
      <c r="A21" s="18"/>
      <c r="B21" s="5">
        <f>RANK(C21,C$20:C$21,0)</f>
        <v>2</v>
      </c>
      <c r="C21" s="5">
        <f>SUMIF($G$13:$AE$13,1,$G21:$AE21)</f>
        <v>475</v>
      </c>
      <c r="D21" s="8"/>
      <c r="E21" s="20" t="s">
        <v>71</v>
      </c>
      <c r="F21" s="8"/>
      <c r="G21" s="5">
        <v>40</v>
      </c>
      <c r="H21" s="5">
        <v>41</v>
      </c>
      <c r="I21" s="5">
        <v>0</v>
      </c>
      <c r="J21" s="5">
        <f t="shared" ref="J21" si="2">G21+H21+I21</f>
        <v>81</v>
      </c>
      <c r="K21" s="5">
        <f>RANK(J21,J$20:J$21,0)</f>
        <v>2</v>
      </c>
      <c r="L21" s="5">
        <f>VLOOKUP(K21,'Место-баллы'!$A$3:$B$52,2,0)</f>
        <v>95</v>
      </c>
      <c r="M21" s="45"/>
      <c r="N21" s="5">
        <f>18+31+21-5</f>
        <v>65</v>
      </c>
      <c r="O21" s="5">
        <f>RANK(N21,N$20:N$21,0)</f>
        <v>2</v>
      </c>
      <c r="P21" s="5">
        <f>VLOOKUP(O21,'Место-баллы'!$A$3:$B$52,2,0)</f>
        <v>95</v>
      </c>
      <c r="Q21" s="45"/>
      <c r="R21" s="5">
        <v>8</v>
      </c>
      <c r="S21" s="5">
        <f>RANK(R21,R$20:R$21,0)</f>
        <v>2</v>
      </c>
      <c r="T21" s="5">
        <f>VLOOKUP(S21,'Место-баллы'!$A$3:$B$52,2,0)</f>
        <v>95</v>
      </c>
      <c r="U21" s="45"/>
      <c r="V21" s="5">
        <v>29</v>
      </c>
      <c r="W21" s="5">
        <v>1</v>
      </c>
      <c r="X21" s="5">
        <v>23</v>
      </c>
      <c r="Y21" s="5">
        <f t="shared" si="1"/>
        <v>53</v>
      </c>
      <c r="Z21" s="5">
        <f>RANK(Y21,Y$20:Y$21,0)</f>
        <v>2</v>
      </c>
      <c r="AA21" s="5">
        <f>VLOOKUP(Z21,'Место-баллы'!$A$3:$B$52,2,0)</f>
        <v>95</v>
      </c>
      <c r="AB21" s="45"/>
      <c r="AC21" s="5">
        <f>192+23</f>
        <v>215</v>
      </c>
      <c r="AD21" s="5">
        <f>RANK(AC21,AC$20:AC$21,0)</f>
        <v>2</v>
      </c>
      <c r="AE21" s="5">
        <f>VLOOKUP(AD21,'Место-баллы'!$A$3:$B$52,2,0)</f>
        <v>95</v>
      </c>
    </row>
    <row r="22" spans="1:31" ht="15.75" customHeight="1" x14ac:dyDescent="0.25">
      <c r="D22" s="46"/>
      <c r="E22" s="47"/>
      <c r="F22" s="46"/>
      <c r="G22" s="48"/>
      <c r="H22" s="48"/>
      <c r="I22" s="48"/>
      <c r="J22" s="48"/>
      <c r="K22" s="48"/>
      <c r="L22" s="48"/>
      <c r="M22" s="49"/>
      <c r="N22" s="48"/>
      <c r="O22" s="48"/>
      <c r="P22" s="48"/>
      <c r="Q22" s="49"/>
      <c r="R22" s="48"/>
      <c r="S22" s="48"/>
      <c r="T22" s="48"/>
      <c r="U22" s="49"/>
      <c r="V22" s="48"/>
      <c r="W22" s="48"/>
      <c r="X22" s="48"/>
      <c r="Y22" s="48"/>
      <c r="Z22" s="48"/>
      <c r="AA22" s="48"/>
      <c r="AB22" s="49"/>
      <c r="AC22" s="48"/>
      <c r="AD22" s="48"/>
      <c r="AE22" s="48"/>
    </row>
    <row r="23" spans="1:31" ht="15.75" customHeight="1" outlineLevel="1" x14ac:dyDescent="0.35">
      <c r="B23" s="40" t="s">
        <v>22</v>
      </c>
      <c r="C23" s="40"/>
      <c r="D23" s="40"/>
      <c r="E23" s="40"/>
      <c r="F23" s="40"/>
      <c r="G23" s="40"/>
      <c r="H23" s="40"/>
      <c r="I23" s="40"/>
    </row>
    <row r="24" spans="1:31" ht="15.75" customHeight="1" outlineLevel="1" x14ac:dyDescent="0.25">
      <c r="B24" s="16"/>
      <c r="C24" s="16"/>
      <c r="D24" s="16"/>
      <c r="E24" s="16"/>
    </row>
    <row r="25" spans="1:31" ht="15.75" customHeight="1" outlineLevel="1" x14ac:dyDescent="0.35">
      <c r="B25" s="40" t="s">
        <v>23</v>
      </c>
      <c r="C25" s="40"/>
      <c r="D25" s="40"/>
      <c r="E25" s="40"/>
      <c r="F25" s="40"/>
      <c r="G25" s="40"/>
      <c r="H25" s="40"/>
      <c r="I25" s="40"/>
    </row>
    <row r="26" spans="1:31" ht="15.75" customHeight="1" x14ac:dyDescent="0.25"/>
    <row r="27" spans="1:31" ht="15.75" customHeight="1" x14ac:dyDescent="0.25"/>
    <row r="28" spans="1:31" ht="15.75" customHeight="1" x14ac:dyDescent="0.25"/>
    <row r="29" spans="1:31" ht="15.75" customHeight="1" x14ac:dyDescent="0.25"/>
    <row r="30" spans="1:31" ht="15.75" customHeight="1" x14ac:dyDescent="0.25"/>
    <row r="31" spans="1:31" ht="15.75" customHeight="1" x14ac:dyDescent="0.25"/>
    <row r="32" spans="1:3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</sheetData>
  <mergeCells count="16">
    <mergeCell ref="V17:AA18"/>
    <mergeCell ref="AC17:AE18"/>
    <mergeCell ref="B1:AE1"/>
    <mergeCell ref="B2:AE2"/>
    <mergeCell ref="B3:AE3"/>
    <mergeCell ref="B4:AE4"/>
    <mergeCell ref="B17:C18"/>
    <mergeCell ref="E17:E18"/>
    <mergeCell ref="G17:L18"/>
    <mergeCell ref="N17:P18"/>
    <mergeCell ref="R17:T18"/>
    <mergeCell ref="B6:AE6"/>
    <mergeCell ref="B7:AE7"/>
    <mergeCell ref="B8:AE8"/>
    <mergeCell ref="B9:AE9"/>
    <mergeCell ref="B11:AE11"/>
  </mergeCells>
  <printOptions horizontalCentered="1" verticalCentered="1"/>
  <pageMargins left="0" right="0" top="0" bottom="0" header="0" footer="0"/>
  <pageSetup paperSize="9" scale="5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652F-4FEE-410A-8BCF-7EAC80D8E095}">
  <sheetPr>
    <pageSetUpPr fitToPage="1"/>
  </sheetPr>
  <dimension ref="A1:AL86"/>
  <sheetViews>
    <sheetView topLeftCell="B1" zoomScaleNormal="100" workbookViewId="0">
      <selection activeCell="G10" sqref="G10"/>
    </sheetView>
  </sheetViews>
  <sheetFormatPr defaultColWidth="14.42578125" defaultRowHeight="15" customHeight="1" outlineLevelRow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8.42578125" bestFit="1" customWidth="1"/>
    <col min="6" max="6" width="1.42578125" customWidth="1"/>
    <col min="7" max="9" width="5.5703125" customWidth="1" outlineLevel="1"/>
    <col min="10" max="10" width="7.85546875" bestFit="1" customWidth="1"/>
    <col min="11" max="11" width="7.140625" bestFit="1" customWidth="1"/>
    <col min="12" max="12" width="6.85546875" bestFit="1" customWidth="1"/>
    <col min="13" max="13" width="1.42578125" customWidth="1"/>
    <col min="14" max="14" width="6.85546875" customWidth="1"/>
    <col min="15" max="15" width="7.140625" bestFit="1" customWidth="1"/>
    <col min="16" max="16" width="6.85546875" bestFit="1" customWidth="1"/>
    <col min="17" max="17" width="1.42578125" customWidth="1"/>
    <col min="18" max="18" width="6.85546875" customWidth="1"/>
    <col min="19" max="19" width="7.140625" bestFit="1" customWidth="1"/>
    <col min="20" max="20" width="6.85546875" bestFit="1" customWidth="1"/>
    <col min="21" max="21" width="1.42578125" customWidth="1"/>
    <col min="22" max="22" width="6.5703125" customWidth="1" outlineLevel="1"/>
    <col min="23" max="23" width="9.140625" customWidth="1" outlineLevel="1"/>
    <col min="24" max="24" width="8" customWidth="1" outlineLevel="1"/>
    <col min="25" max="25" width="7" bestFit="1" customWidth="1"/>
    <col min="26" max="26" width="7.140625" customWidth="1"/>
    <col min="27" max="27" width="6.85546875" customWidth="1"/>
    <col min="28" max="28" width="1.42578125" customWidth="1"/>
    <col min="29" max="29" width="6.85546875" customWidth="1"/>
    <col min="30" max="30" width="7.140625" bestFit="1" customWidth="1"/>
    <col min="31" max="31" width="6.85546875" bestFit="1" customWidth="1"/>
    <col min="32" max="32" width="6.85546875" customWidth="1"/>
    <col min="33" max="33" width="7.140625" bestFit="1" customWidth="1"/>
    <col min="34" max="34" width="6.85546875" bestFit="1" customWidth="1"/>
    <col min="35" max="35" width="1.42578125" customWidth="1"/>
    <col min="36" max="36" width="6.85546875" customWidth="1"/>
    <col min="37" max="37" width="7.140625" bestFit="1" customWidth="1"/>
    <col min="38" max="38" width="6.85546875" bestFit="1" customWidth="1"/>
  </cols>
  <sheetData>
    <row r="1" spans="2:38" ht="15" customHeight="1" outlineLevel="1" x14ac:dyDescent="0.25">
      <c r="B1" s="64" t="s">
        <v>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36"/>
      <c r="AG1" s="36"/>
      <c r="AH1" s="36"/>
      <c r="AI1" s="36"/>
      <c r="AJ1" s="36"/>
      <c r="AK1" s="36"/>
      <c r="AL1" s="36"/>
    </row>
    <row r="2" spans="2:38" ht="15" customHeight="1" outlineLevel="1" x14ac:dyDescent="0.25">
      <c r="B2" s="64" t="s">
        <v>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36"/>
      <c r="AG2" s="36"/>
      <c r="AH2" s="36"/>
      <c r="AI2" s="36"/>
      <c r="AJ2" s="36"/>
      <c r="AK2" s="36"/>
      <c r="AL2" s="36"/>
    </row>
    <row r="3" spans="2:38" ht="15" customHeight="1" outlineLevel="1" x14ac:dyDescent="0.25">
      <c r="B3" s="64" t="s">
        <v>21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36"/>
      <c r="AG3" s="36"/>
      <c r="AH3" s="36"/>
      <c r="AI3" s="36"/>
      <c r="AJ3" s="36"/>
      <c r="AK3" s="36"/>
      <c r="AL3" s="36"/>
    </row>
    <row r="4" spans="2:38" ht="15" customHeight="1" outlineLevel="1" x14ac:dyDescent="0.25">
      <c r="B4" s="65" t="s">
        <v>19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37"/>
      <c r="AG4" s="37"/>
      <c r="AH4" s="37"/>
      <c r="AI4" s="37"/>
      <c r="AJ4" s="37"/>
      <c r="AK4" s="37"/>
      <c r="AL4" s="37"/>
    </row>
    <row r="5" spans="2:38" ht="15" customHeight="1" outlineLevel="1" x14ac:dyDescent="0.25"/>
    <row r="6" spans="2:38" ht="18.75" customHeight="1" outlineLevel="1" x14ac:dyDescent="0.25">
      <c r="B6" s="62" t="s">
        <v>92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38"/>
      <c r="AG6" s="38"/>
      <c r="AH6" s="38"/>
      <c r="AI6" s="38"/>
      <c r="AJ6" s="38"/>
      <c r="AK6" s="38"/>
      <c r="AL6" s="38"/>
    </row>
    <row r="7" spans="2:38" ht="18.75" customHeight="1" outlineLevel="1" x14ac:dyDescent="0.25">
      <c r="B7" s="62" t="s">
        <v>93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38"/>
      <c r="AG7" s="38"/>
      <c r="AH7" s="38"/>
      <c r="AI7" s="38"/>
      <c r="AJ7" s="38"/>
      <c r="AK7" s="38"/>
      <c r="AL7" s="38"/>
    </row>
    <row r="8" spans="2:38" ht="18.75" customHeight="1" outlineLevel="1" x14ac:dyDescent="0.25">
      <c r="B8" s="62" t="s">
        <v>49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38"/>
      <c r="AG8" s="38"/>
      <c r="AH8" s="38"/>
      <c r="AI8" s="38"/>
      <c r="AJ8" s="38"/>
      <c r="AK8" s="38"/>
      <c r="AL8" s="38"/>
    </row>
    <row r="9" spans="2:38" ht="18.75" customHeight="1" outlineLevel="1" x14ac:dyDescent="0.25">
      <c r="B9" s="62" t="s">
        <v>48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38"/>
      <c r="AG9" s="38"/>
      <c r="AH9" s="38"/>
      <c r="AI9" s="38"/>
      <c r="AJ9" s="38"/>
      <c r="AK9" s="38"/>
      <c r="AL9" s="38"/>
    </row>
    <row r="10" spans="2:38" ht="15" customHeight="1" outlineLevel="1" x14ac:dyDescent="0.3">
      <c r="I10" s="15"/>
    </row>
    <row r="11" spans="2:38" ht="25.5" customHeight="1" outlineLevel="1" x14ac:dyDescent="0.25">
      <c r="B11" s="63" t="s">
        <v>20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41"/>
      <c r="AG11" s="41"/>
      <c r="AH11" s="41"/>
      <c r="AI11" s="41"/>
      <c r="AJ11" s="41"/>
      <c r="AK11" s="41"/>
      <c r="AL11" s="41"/>
    </row>
    <row r="13" spans="2:38" hidden="1" outlineLevel="1" x14ac:dyDescent="0.25">
      <c r="E13" s="12"/>
      <c r="G13" s="2"/>
      <c r="H13" s="2"/>
      <c r="I13" s="2"/>
      <c r="J13" s="2"/>
      <c r="K13" s="2"/>
      <c r="L13" s="3">
        <v>1</v>
      </c>
      <c r="N13" s="2"/>
      <c r="O13" s="4"/>
      <c r="P13" s="9">
        <v>1</v>
      </c>
      <c r="R13" s="2"/>
      <c r="S13" s="2"/>
      <c r="T13" s="9">
        <v>1</v>
      </c>
      <c r="V13" s="2"/>
      <c r="W13" s="2"/>
      <c r="X13" s="2"/>
      <c r="Y13" s="2"/>
      <c r="Z13" s="2"/>
      <c r="AA13" s="3">
        <v>1</v>
      </c>
      <c r="AC13" s="2"/>
      <c r="AE13" s="9">
        <v>1</v>
      </c>
    </row>
    <row r="14" spans="2:38" hidden="1" outlineLevel="1" x14ac:dyDescent="0.25">
      <c r="E14" s="12"/>
      <c r="G14" s="2"/>
      <c r="H14" s="2"/>
      <c r="I14" s="2"/>
      <c r="J14" s="2"/>
      <c r="K14" s="2"/>
      <c r="L14" s="2"/>
      <c r="N14" s="2"/>
      <c r="O14" s="2"/>
      <c r="P14" s="2"/>
      <c r="R14" s="2"/>
      <c r="S14" s="2"/>
      <c r="T14" s="2"/>
      <c r="V14" s="2"/>
      <c r="W14" s="2"/>
      <c r="X14" s="2"/>
      <c r="Y14" s="2"/>
      <c r="Z14" s="2"/>
      <c r="AA14" s="2"/>
      <c r="AC14" s="2"/>
      <c r="AD14" s="2"/>
    </row>
    <row r="15" spans="2:38" hidden="1" outlineLevel="1" x14ac:dyDescent="0.25">
      <c r="E15" s="12"/>
      <c r="G15" s="4"/>
      <c r="H15" s="4"/>
      <c r="I15" s="4"/>
      <c r="J15" s="4"/>
      <c r="K15" s="2"/>
      <c r="L15" s="2"/>
      <c r="N15" s="2"/>
      <c r="O15" s="2"/>
      <c r="P15" s="2"/>
      <c r="R15" s="2"/>
      <c r="S15" s="2"/>
      <c r="T15" s="2"/>
      <c r="V15" s="2"/>
      <c r="W15" s="2"/>
      <c r="X15" s="2"/>
      <c r="Y15" s="2"/>
      <c r="Z15" s="2"/>
      <c r="AA15" s="2"/>
      <c r="AC15" s="4"/>
      <c r="AD15" s="2"/>
    </row>
    <row r="16" spans="2:38" hidden="1" outlineLevel="1" x14ac:dyDescent="0.25">
      <c r="G16" s="2"/>
      <c r="H16" s="2"/>
      <c r="I16" s="2"/>
      <c r="J16" s="2"/>
      <c r="K16" s="2"/>
      <c r="L16" s="2"/>
      <c r="N16" s="2"/>
      <c r="O16" s="2"/>
      <c r="P16" s="2"/>
      <c r="R16" s="2"/>
      <c r="S16" s="2"/>
      <c r="T16" s="2"/>
      <c r="V16" s="2"/>
      <c r="W16" s="2"/>
      <c r="X16" s="2"/>
      <c r="Y16" s="2"/>
      <c r="Z16" s="2"/>
      <c r="AA16" s="2"/>
      <c r="AC16" s="2"/>
      <c r="AD16" s="2"/>
    </row>
    <row r="17" spans="1:31" ht="15" customHeight="1" collapsed="1" x14ac:dyDescent="0.25">
      <c r="B17" s="67" t="s">
        <v>3</v>
      </c>
      <c r="C17" s="68"/>
      <c r="D17" s="5"/>
      <c r="E17" s="67" t="s">
        <v>31</v>
      </c>
      <c r="F17" s="5"/>
      <c r="G17" s="66" t="s">
        <v>25</v>
      </c>
      <c r="H17" s="69"/>
      <c r="I17" s="69"/>
      <c r="J17" s="69"/>
      <c r="K17" s="69"/>
      <c r="L17" s="70"/>
      <c r="M17" s="5"/>
      <c r="N17" s="66" t="s">
        <v>24</v>
      </c>
      <c r="O17" s="69"/>
      <c r="P17" s="70"/>
      <c r="Q17" s="5"/>
      <c r="R17" s="66" t="s">
        <v>4</v>
      </c>
      <c r="S17" s="69"/>
      <c r="T17" s="70"/>
      <c r="U17" s="39"/>
      <c r="V17" s="66" t="s">
        <v>5</v>
      </c>
      <c r="W17" s="69"/>
      <c r="X17" s="69"/>
      <c r="Y17" s="69"/>
      <c r="Z17" s="69"/>
      <c r="AA17" s="70"/>
      <c r="AB17" s="39"/>
      <c r="AC17" s="67" t="s">
        <v>6</v>
      </c>
      <c r="AD17" s="74"/>
      <c r="AE17" s="74"/>
    </row>
    <row r="18" spans="1:31" x14ac:dyDescent="0.25">
      <c r="B18" s="68"/>
      <c r="C18" s="68"/>
      <c r="D18" s="6"/>
      <c r="E18" s="68"/>
      <c r="F18" s="6"/>
      <c r="G18" s="71"/>
      <c r="H18" s="72"/>
      <c r="I18" s="72"/>
      <c r="J18" s="72"/>
      <c r="K18" s="72"/>
      <c r="L18" s="73"/>
      <c r="M18" s="42"/>
      <c r="N18" s="71"/>
      <c r="O18" s="72"/>
      <c r="P18" s="73"/>
      <c r="Q18" s="42"/>
      <c r="R18" s="71"/>
      <c r="S18" s="72"/>
      <c r="T18" s="73"/>
      <c r="U18" s="43"/>
      <c r="V18" s="71"/>
      <c r="W18" s="72"/>
      <c r="X18" s="72"/>
      <c r="Y18" s="72"/>
      <c r="Z18" s="72"/>
      <c r="AA18" s="73"/>
      <c r="AB18" s="43"/>
      <c r="AC18" s="74"/>
      <c r="AD18" s="74"/>
      <c r="AE18" s="74"/>
    </row>
    <row r="19" spans="1:31" ht="25.5" x14ac:dyDescent="0.25">
      <c r="A19" s="18"/>
      <c r="B19" s="11" t="s">
        <v>7</v>
      </c>
      <c r="C19" s="11" t="s">
        <v>8</v>
      </c>
      <c r="D19" s="7"/>
      <c r="E19" s="13" t="s">
        <v>9</v>
      </c>
      <c r="F19" s="7"/>
      <c r="G19" s="10" t="s">
        <v>59</v>
      </c>
      <c r="H19" s="10" t="s">
        <v>60</v>
      </c>
      <c r="I19" s="10" t="s">
        <v>61</v>
      </c>
      <c r="J19" s="10" t="s">
        <v>62</v>
      </c>
      <c r="K19" s="10" t="s">
        <v>13</v>
      </c>
      <c r="L19" s="10" t="s">
        <v>14</v>
      </c>
      <c r="M19" s="44"/>
      <c r="N19" s="11" t="s">
        <v>15</v>
      </c>
      <c r="O19" s="10" t="s">
        <v>13</v>
      </c>
      <c r="P19" s="10" t="s">
        <v>14</v>
      </c>
      <c r="Q19" s="44"/>
      <c r="R19" s="11" t="s">
        <v>15</v>
      </c>
      <c r="S19" s="10" t="s">
        <v>13</v>
      </c>
      <c r="T19" s="10" t="s">
        <v>14</v>
      </c>
      <c r="U19" s="44"/>
      <c r="V19" s="10" t="s">
        <v>63</v>
      </c>
      <c r="W19" s="10" t="s">
        <v>64</v>
      </c>
      <c r="X19" s="11" t="s">
        <v>94</v>
      </c>
      <c r="Y19" s="10" t="s">
        <v>66</v>
      </c>
      <c r="Z19" s="10" t="s">
        <v>13</v>
      </c>
      <c r="AA19" s="10" t="s">
        <v>14</v>
      </c>
      <c r="AB19" s="44"/>
      <c r="AC19" s="11" t="s">
        <v>15</v>
      </c>
      <c r="AD19" s="10" t="s">
        <v>13</v>
      </c>
      <c r="AE19" s="10" t="s">
        <v>14</v>
      </c>
    </row>
    <row r="20" spans="1:31" x14ac:dyDescent="0.25">
      <c r="A20" s="18"/>
      <c r="B20" s="5">
        <f>RANK(C20,C$20:C$22,0)</f>
        <v>1</v>
      </c>
      <c r="C20" s="5">
        <f>SUMIF($G$13:$AE$13,1,$G20:$AE20)</f>
        <v>500</v>
      </c>
      <c r="D20" s="8"/>
      <c r="E20" s="14" t="s">
        <v>40</v>
      </c>
      <c r="F20" s="8"/>
      <c r="G20" s="5">
        <v>70</v>
      </c>
      <c r="H20" s="5">
        <v>65</v>
      </c>
      <c r="I20" s="5">
        <v>65</v>
      </c>
      <c r="J20" s="5">
        <f>G20+H20+I20</f>
        <v>200</v>
      </c>
      <c r="K20" s="5">
        <f>RANK(J20,J$20:J$22,0)</f>
        <v>1</v>
      </c>
      <c r="L20" s="5">
        <f>VLOOKUP(K20,'Место-баллы'!$A$3:$B$52,2,0)</f>
        <v>100</v>
      </c>
      <c r="M20" s="45"/>
      <c r="N20" s="5">
        <f>17+30+25</f>
        <v>72</v>
      </c>
      <c r="O20" s="5">
        <f>RANK(N20,N$20:N$22,0)</f>
        <v>1</v>
      </c>
      <c r="P20" s="5">
        <f>VLOOKUP(O20,'Место-баллы'!$A$3:$B$52,2,0)</f>
        <v>100</v>
      </c>
      <c r="Q20" s="45"/>
      <c r="R20" s="5">
        <v>217</v>
      </c>
      <c r="S20" s="5">
        <f>RANK(R20,R$20:R$22,0)</f>
        <v>1</v>
      </c>
      <c r="T20" s="5">
        <f>VLOOKUP(S20,'Место-баллы'!$A$3:$B$52,2,0)</f>
        <v>100</v>
      </c>
      <c r="U20" s="45"/>
      <c r="V20" s="5">
        <v>24</v>
      </c>
      <c r="W20" s="5">
        <v>29</v>
      </c>
      <c r="X20" s="5">
        <v>33</v>
      </c>
      <c r="Y20" s="5">
        <f>V20+W20+X20</f>
        <v>86</v>
      </c>
      <c r="Z20" s="5">
        <f>RANK(Y20,Y$20:Y$22,0)</f>
        <v>1</v>
      </c>
      <c r="AA20" s="5">
        <f>VLOOKUP(Z20,'Место-баллы'!$A$3:$B$52,2,0)</f>
        <v>100</v>
      </c>
      <c r="AB20" s="45"/>
      <c r="AC20" s="5">
        <v>448</v>
      </c>
      <c r="AD20" s="5">
        <f>RANK(AC20,AC$20:AC$22,0)</f>
        <v>1</v>
      </c>
      <c r="AE20" s="5">
        <f>VLOOKUP(AD20,'Место-баллы'!$A$3:$B$52,2,0)</f>
        <v>100</v>
      </c>
    </row>
    <row r="21" spans="1:31" x14ac:dyDescent="0.25">
      <c r="A21" s="18"/>
      <c r="B21" s="5">
        <f>RANK(C21,C$20:C$22,0)</f>
        <v>2</v>
      </c>
      <c r="C21" s="5">
        <f>SUMIF($G$13:$AE$13,1,$G21:$AE21)</f>
        <v>470</v>
      </c>
      <c r="D21" s="8"/>
      <c r="E21" s="14" t="s">
        <v>75</v>
      </c>
      <c r="F21" s="8"/>
      <c r="G21" s="5">
        <v>50</v>
      </c>
      <c r="H21" s="5">
        <v>50</v>
      </c>
      <c r="I21" s="5">
        <v>50</v>
      </c>
      <c r="J21" s="5">
        <f>G21+H21+I21</f>
        <v>150</v>
      </c>
      <c r="K21" s="5">
        <f>RANK(J21,J$20:J$22,0)</f>
        <v>2</v>
      </c>
      <c r="L21" s="5">
        <f>VLOOKUP(K21,'Место-баллы'!$A$3:$B$52,2,0)</f>
        <v>95</v>
      </c>
      <c r="M21" s="45"/>
      <c r="N21" s="5">
        <f>14+22+20</f>
        <v>56</v>
      </c>
      <c r="O21" s="5">
        <f>RANK(N21,N$20:N$22,0)</f>
        <v>3</v>
      </c>
      <c r="P21" s="5">
        <f>VLOOKUP(O21,'Место-баллы'!$A$3:$B$52,2,0)</f>
        <v>90</v>
      </c>
      <c r="Q21" s="45"/>
      <c r="R21" s="5">
        <v>200</v>
      </c>
      <c r="S21" s="5">
        <f>RANK(R21,R$20:R$22,0)</f>
        <v>2</v>
      </c>
      <c r="T21" s="5">
        <f>VLOOKUP(S21,'Место-баллы'!$A$3:$B$52,2,0)</f>
        <v>95</v>
      </c>
      <c r="U21" s="45"/>
      <c r="V21" s="5">
        <v>22</v>
      </c>
      <c r="W21" s="5">
        <v>24</v>
      </c>
      <c r="X21" s="5">
        <v>27</v>
      </c>
      <c r="Y21" s="5">
        <f>V21+W21+X21</f>
        <v>73</v>
      </c>
      <c r="Z21" s="5">
        <f>RANK(Y21,Y$20:Y$22,0)</f>
        <v>2</v>
      </c>
      <c r="AA21" s="5">
        <f>VLOOKUP(Z21,'Место-баллы'!$A$3:$B$52,2,0)</f>
        <v>95</v>
      </c>
      <c r="AB21" s="45"/>
      <c r="AC21" s="5">
        <v>353</v>
      </c>
      <c r="AD21" s="5">
        <f>RANK(AC21,AC$20:AC$22,0)</f>
        <v>2</v>
      </c>
      <c r="AE21" s="5">
        <f>VLOOKUP(AD21,'Место-баллы'!$A$3:$B$52,2,0)</f>
        <v>95</v>
      </c>
    </row>
    <row r="22" spans="1:31" x14ac:dyDescent="0.25">
      <c r="A22" s="18"/>
      <c r="B22" s="5">
        <f>RANK(C22,C$20:C$22,0)</f>
        <v>3</v>
      </c>
      <c r="C22" s="5">
        <f>SUMIF($G$13:$AE$13,1,$G22:$AE22)</f>
        <v>455</v>
      </c>
      <c r="D22" s="8"/>
      <c r="E22" s="14" t="s">
        <v>76</v>
      </c>
      <c r="F22" s="8"/>
      <c r="G22" s="5">
        <v>45</v>
      </c>
      <c r="H22" s="5">
        <v>45</v>
      </c>
      <c r="I22" s="5">
        <v>45</v>
      </c>
      <c r="J22" s="5">
        <f>G22+H22+I22</f>
        <v>135</v>
      </c>
      <c r="K22" s="5">
        <f>RANK(J22,J$20:J$22,0)</f>
        <v>3</v>
      </c>
      <c r="L22" s="5">
        <f>VLOOKUP(K22,'Место-баллы'!$A$3:$B$52,2,0)</f>
        <v>90</v>
      </c>
      <c r="M22" s="45"/>
      <c r="N22" s="5">
        <f>14+26+24</f>
        <v>64</v>
      </c>
      <c r="O22" s="5">
        <f>RANK(N22,N$20:N$22,0)</f>
        <v>2</v>
      </c>
      <c r="P22" s="5">
        <f>VLOOKUP(O22,'Место-баллы'!$A$3:$B$52,2,0)</f>
        <v>95</v>
      </c>
      <c r="Q22" s="45"/>
      <c r="R22" s="5">
        <v>154</v>
      </c>
      <c r="S22" s="5">
        <f>RANK(R22,R$20:R$22,0)</f>
        <v>3</v>
      </c>
      <c r="T22" s="5">
        <f>VLOOKUP(S22,'Место-баллы'!$A$3:$B$52,2,0)</f>
        <v>90</v>
      </c>
      <c r="U22" s="45"/>
      <c r="V22" s="5">
        <v>12</v>
      </c>
      <c r="W22" s="5">
        <v>17</v>
      </c>
      <c r="X22" s="5">
        <v>27</v>
      </c>
      <c r="Y22" s="5">
        <f>V22+W22+X22</f>
        <v>56</v>
      </c>
      <c r="Z22" s="5">
        <f>RANK(Y22,Y$20:Y$22,0)</f>
        <v>3</v>
      </c>
      <c r="AA22" s="5">
        <f>VLOOKUP(Z22,'Место-баллы'!$A$3:$B$52,2,0)</f>
        <v>90</v>
      </c>
      <c r="AB22" s="45"/>
      <c r="AC22" s="5">
        <v>256</v>
      </c>
      <c r="AD22" s="5">
        <f>RANK(AC22,AC$20:AC$22,0)</f>
        <v>3</v>
      </c>
      <c r="AE22" s="5">
        <f>VLOOKUP(AD22,'Место-баллы'!$A$3:$B$52,2,0)</f>
        <v>90</v>
      </c>
    </row>
    <row r="23" spans="1:31" ht="15.75" customHeight="1" x14ac:dyDescent="0.25">
      <c r="A23" s="18"/>
    </row>
    <row r="24" spans="1:31" ht="15.75" customHeight="1" x14ac:dyDescent="0.25">
      <c r="A24" s="18"/>
    </row>
    <row r="25" spans="1:31" ht="15.75" customHeight="1" outlineLevel="1" x14ac:dyDescent="0.35">
      <c r="A25" s="18"/>
      <c r="B25" s="40" t="s">
        <v>22</v>
      </c>
      <c r="C25" s="40"/>
      <c r="D25" s="40"/>
      <c r="E25" s="40"/>
      <c r="F25" s="40"/>
      <c r="G25" s="40"/>
      <c r="H25" s="40"/>
      <c r="I25" s="40"/>
    </row>
    <row r="26" spans="1:31" ht="15.75" customHeight="1" outlineLevel="1" x14ac:dyDescent="0.25">
      <c r="B26" s="16"/>
      <c r="C26" s="16"/>
      <c r="D26" s="16"/>
      <c r="E26" s="16"/>
    </row>
    <row r="27" spans="1:31" ht="15.75" customHeight="1" outlineLevel="1" x14ac:dyDescent="0.35">
      <c r="B27" s="40" t="s">
        <v>23</v>
      </c>
      <c r="C27" s="40"/>
      <c r="D27" s="40"/>
      <c r="E27" s="40"/>
      <c r="F27" s="40"/>
      <c r="G27" s="40"/>
      <c r="H27" s="40"/>
      <c r="I27" s="40"/>
    </row>
    <row r="28" spans="1:31" ht="15.75" customHeight="1" x14ac:dyDescent="0.25"/>
    <row r="29" spans="1:31" ht="15.75" customHeight="1" x14ac:dyDescent="0.25"/>
    <row r="30" spans="1:31" ht="15.75" customHeight="1" x14ac:dyDescent="0.25"/>
    <row r="31" spans="1:31" ht="15.75" customHeight="1" x14ac:dyDescent="0.25"/>
    <row r="32" spans="1:3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</sheetData>
  <autoFilter ref="B19:AE19" xr:uid="{55FD8473-F2C5-41E3-9C35-4651B0E79B74}">
    <sortState ref="B20:AE22">
      <sortCondition ref="B19"/>
    </sortState>
  </autoFilter>
  <mergeCells count="16">
    <mergeCell ref="B17:C18"/>
    <mergeCell ref="E17:E18"/>
    <mergeCell ref="G17:L18"/>
    <mergeCell ref="B7:AE7"/>
    <mergeCell ref="B8:AE8"/>
    <mergeCell ref="B9:AE9"/>
    <mergeCell ref="B11:AE11"/>
    <mergeCell ref="N17:P18"/>
    <mergeCell ref="R17:T18"/>
    <mergeCell ref="V17:AA18"/>
    <mergeCell ref="AC17:AE18"/>
    <mergeCell ref="B1:AE1"/>
    <mergeCell ref="B2:AE2"/>
    <mergeCell ref="B3:AE3"/>
    <mergeCell ref="B4:AE4"/>
    <mergeCell ref="B6:AE6"/>
  </mergeCells>
  <printOptions horizontalCentered="1" verticalCentered="1"/>
  <pageMargins left="0" right="0" top="0" bottom="0" header="0" footer="0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F5BB-E1C7-4064-8354-62B334C05594}">
  <sheetPr>
    <pageSetUpPr fitToPage="1"/>
  </sheetPr>
  <dimension ref="A1:AL87"/>
  <sheetViews>
    <sheetView topLeftCell="B1" zoomScaleNormal="100" workbookViewId="0">
      <selection activeCell="J39" sqref="J39"/>
    </sheetView>
  </sheetViews>
  <sheetFormatPr defaultColWidth="14.42578125" defaultRowHeight="15" customHeight="1" outlineLevelRow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9.5703125" bestFit="1" customWidth="1"/>
    <col min="6" max="6" width="1.42578125" customWidth="1"/>
    <col min="7" max="9" width="5.5703125" customWidth="1" outlineLevel="1"/>
    <col min="10" max="10" width="7.85546875" bestFit="1" customWidth="1"/>
    <col min="11" max="11" width="7.140625" bestFit="1" customWidth="1"/>
    <col min="12" max="12" width="6.85546875" bestFit="1" customWidth="1"/>
    <col min="13" max="13" width="1.42578125" customWidth="1"/>
    <col min="14" max="14" width="6.85546875" customWidth="1"/>
    <col min="15" max="15" width="7.140625" bestFit="1" customWidth="1"/>
    <col min="16" max="16" width="6.85546875" bestFit="1" customWidth="1"/>
    <col min="17" max="17" width="1.42578125" customWidth="1"/>
    <col min="18" max="18" width="6.85546875" customWidth="1"/>
    <col min="19" max="19" width="7.140625" bestFit="1" customWidth="1"/>
    <col min="20" max="20" width="6.85546875" bestFit="1" customWidth="1"/>
    <col min="21" max="21" width="1.42578125" customWidth="1"/>
    <col min="22" max="22" width="6.5703125" customWidth="1" outlineLevel="1"/>
    <col min="23" max="23" width="9.140625" customWidth="1" outlineLevel="1"/>
    <col min="24" max="24" width="8" customWidth="1" outlineLevel="1"/>
    <col min="25" max="25" width="7" bestFit="1" customWidth="1"/>
    <col min="26" max="26" width="7.140625" customWidth="1"/>
    <col min="27" max="27" width="6.85546875" customWidth="1"/>
    <col min="28" max="28" width="1.42578125" customWidth="1"/>
    <col min="29" max="29" width="6.85546875" customWidth="1"/>
    <col min="30" max="30" width="7.140625" bestFit="1" customWidth="1"/>
    <col min="31" max="31" width="6.85546875" bestFit="1" customWidth="1"/>
    <col min="32" max="32" width="6.85546875" customWidth="1"/>
    <col min="33" max="33" width="7.140625" bestFit="1" customWidth="1"/>
    <col min="34" max="34" width="6.85546875" bestFit="1" customWidth="1"/>
    <col min="35" max="35" width="1.42578125" customWidth="1"/>
    <col min="36" max="36" width="6.85546875" customWidth="1"/>
    <col min="37" max="37" width="7.140625" bestFit="1" customWidth="1"/>
    <col min="38" max="38" width="6.85546875" bestFit="1" customWidth="1"/>
  </cols>
  <sheetData>
    <row r="1" spans="2:38" ht="15" customHeight="1" outlineLevel="1" x14ac:dyDescent="0.25">
      <c r="B1" s="64" t="s">
        <v>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36"/>
      <c r="AG1" s="36"/>
      <c r="AH1" s="36"/>
      <c r="AI1" s="36"/>
      <c r="AJ1" s="36"/>
      <c r="AK1" s="36"/>
      <c r="AL1" s="36"/>
    </row>
    <row r="2" spans="2:38" ht="15" customHeight="1" outlineLevel="1" x14ac:dyDescent="0.25">
      <c r="B2" s="64" t="s">
        <v>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36"/>
      <c r="AG2" s="36"/>
      <c r="AH2" s="36"/>
      <c r="AI2" s="36"/>
      <c r="AJ2" s="36"/>
      <c r="AK2" s="36"/>
      <c r="AL2" s="36"/>
    </row>
    <row r="3" spans="2:38" ht="15" customHeight="1" outlineLevel="1" x14ac:dyDescent="0.25">
      <c r="B3" s="64" t="s">
        <v>21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36"/>
      <c r="AG3" s="36"/>
      <c r="AH3" s="36"/>
      <c r="AI3" s="36"/>
      <c r="AJ3" s="36"/>
      <c r="AK3" s="36"/>
      <c r="AL3" s="36"/>
    </row>
    <row r="4" spans="2:38" ht="15" customHeight="1" outlineLevel="1" x14ac:dyDescent="0.25">
      <c r="B4" s="65" t="s">
        <v>19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37"/>
      <c r="AG4" s="37"/>
      <c r="AH4" s="37"/>
      <c r="AI4" s="37"/>
      <c r="AJ4" s="37"/>
      <c r="AK4" s="37"/>
      <c r="AL4" s="37"/>
    </row>
    <row r="5" spans="2:38" ht="15" customHeight="1" outlineLevel="1" x14ac:dyDescent="0.25"/>
    <row r="6" spans="2:38" ht="18.75" customHeight="1" outlineLevel="1" x14ac:dyDescent="0.25">
      <c r="B6" s="62" t="s">
        <v>92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38"/>
      <c r="AG6" s="38"/>
      <c r="AH6" s="38"/>
      <c r="AI6" s="38"/>
      <c r="AJ6" s="38"/>
      <c r="AK6" s="38"/>
      <c r="AL6" s="38"/>
    </row>
    <row r="7" spans="2:38" ht="18.75" customHeight="1" outlineLevel="1" x14ac:dyDescent="0.25">
      <c r="B7" s="62" t="s">
        <v>93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38"/>
      <c r="AG7" s="38"/>
      <c r="AH7" s="38"/>
      <c r="AI7" s="38"/>
      <c r="AJ7" s="38"/>
      <c r="AK7" s="38"/>
      <c r="AL7" s="38"/>
    </row>
    <row r="8" spans="2:38" ht="18.75" customHeight="1" outlineLevel="1" x14ac:dyDescent="0.25">
      <c r="B8" s="62" t="s">
        <v>49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38"/>
      <c r="AG8" s="38"/>
      <c r="AH8" s="38"/>
      <c r="AI8" s="38"/>
      <c r="AJ8" s="38"/>
      <c r="AK8" s="38"/>
      <c r="AL8" s="38"/>
    </row>
    <row r="9" spans="2:38" ht="18.75" customHeight="1" outlineLevel="1" x14ac:dyDescent="0.25">
      <c r="B9" s="62" t="s">
        <v>50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38"/>
      <c r="AG9" s="38"/>
      <c r="AH9" s="38"/>
      <c r="AI9" s="38"/>
      <c r="AJ9" s="38"/>
      <c r="AK9" s="38"/>
      <c r="AL9" s="38"/>
    </row>
    <row r="10" spans="2:38" ht="15" customHeight="1" outlineLevel="1" x14ac:dyDescent="0.3">
      <c r="I10" s="15"/>
    </row>
    <row r="11" spans="2:38" ht="25.5" customHeight="1" outlineLevel="1" x14ac:dyDescent="0.25">
      <c r="B11" s="63" t="s">
        <v>20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41"/>
      <c r="AG11" s="41"/>
      <c r="AH11" s="41"/>
      <c r="AI11" s="41"/>
      <c r="AJ11" s="41"/>
      <c r="AK11" s="41"/>
      <c r="AL11" s="41"/>
    </row>
    <row r="13" spans="2:38" hidden="1" outlineLevel="1" x14ac:dyDescent="0.25">
      <c r="E13" s="12"/>
      <c r="G13" s="2"/>
      <c r="H13" s="2"/>
      <c r="I13" s="2"/>
      <c r="J13" s="2"/>
      <c r="K13" s="2"/>
      <c r="L13" s="3">
        <v>1</v>
      </c>
      <c r="N13" s="2"/>
      <c r="O13" s="4"/>
      <c r="P13" s="9">
        <v>1</v>
      </c>
      <c r="R13" s="2"/>
      <c r="S13" s="2"/>
      <c r="T13" s="9">
        <v>1</v>
      </c>
      <c r="V13" s="2"/>
      <c r="W13" s="2"/>
      <c r="X13" s="2"/>
      <c r="Y13" s="2"/>
      <c r="Z13" s="2"/>
      <c r="AA13" s="3">
        <v>1</v>
      </c>
      <c r="AC13" s="2"/>
      <c r="AE13" s="9">
        <v>1</v>
      </c>
    </row>
    <row r="14" spans="2:38" hidden="1" outlineLevel="1" x14ac:dyDescent="0.25">
      <c r="E14" s="12"/>
      <c r="G14" s="2"/>
      <c r="H14" s="2"/>
      <c r="I14" s="2"/>
      <c r="J14" s="2"/>
      <c r="K14" s="2"/>
      <c r="L14" s="2"/>
      <c r="N14" s="2"/>
      <c r="O14" s="2"/>
      <c r="P14" s="2"/>
      <c r="R14" s="2"/>
      <c r="S14" s="2"/>
      <c r="T14" s="2"/>
      <c r="V14" s="2"/>
      <c r="W14" s="2"/>
      <c r="X14" s="2"/>
      <c r="Y14" s="2"/>
      <c r="Z14" s="2"/>
      <c r="AA14" s="2"/>
      <c r="AC14" s="2"/>
      <c r="AD14" s="2"/>
    </row>
    <row r="15" spans="2:38" hidden="1" outlineLevel="1" x14ac:dyDescent="0.25">
      <c r="E15" s="12"/>
      <c r="G15" s="4"/>
      <c r="H15" s="4"/>
      <c r="I15" s="4"/>
      <c r="J15" s="4"/>
      <c r="K15" s="2"/>
      <c r="L15" s="2"/>
      <c r="N15" s="2"/>
      <c r="O15" s="2"/>
      <c r="P15" s="2"/>
      <c r="R15" s="2"/>
      <c r="S15" s="2"/>
      <c r="T15" s="2"/>
      <c r="V15" s="2"/>
      <c r="W15" s="2"/>
      <c r="X15" s="2"/>
      <c r="Y15" s="2"/>
      <c r="Z15" s="2"/>
      <c r="AA15" s="2"/>
      <c r="AC15" s="4"/>
      <c r="AD15" s="2"/>
    </row>
    <row r="16" spans="2:38" hidden="1" outlineLevel="1" x14ac:dyDescent="0.25">
      <c r="G16" s="2"/>
      <c r="H16" s="2"/>
      <c r="I16" s="2"/>
      <c r="J16" s="2"/>
      <c r="K16" s="2"/>
      <c r="L16" s="2"/>
      <c r="N16" s="2"/>
      <c r="O16" s="2"/>
      <c r="P16" s="2"/>
      <c r="R16" s="2"/>
      <c r="S16" s="2"/>
      <c r="T16" s="2"/>
      <c r="V16" s="2"/>
      <c r="W16" s="2"/>
      <c r="X16" s="2"/>
      <c r="Y16" s="2"/>
      <c r="Z16" s="2"/>
      <c r="AA16" s="2"/>
      <c r="AC16" s="2"/>
      <c r="AD16" s="2"/>
    </row>
    <row r="17" spans="1:31" ht="15" customHeight="1" collapsed="1" x14ac:dyDescent="0.25">
      <c r="B17" s="67" t="s">
        <v>3</v>
      </c>
      <c r="C17" s="68"/>
      <c r="D17" s="5"/>
      <c r="E17" s="67" t="s">
        <v>32</v>
      </c>
      <c r="F17" s="5"/>
      <c r="G17" s="66" t="s">
        <v>25</v>
      </c>
      <c r="H17" s="69"/>
      <c r="I17" s="69"/>
      <c r="J17" s="69"/>
      <c r="K17" s="69"/>
      <c r="L17" s="70"/>
      <c r="M17" s="5"/>
      <c r="N17" s="66" t="s">
        <v>24</v>
      </c>
      <c r="O17" s="69"/>
      <c r="P17" s="70"/>
      <c r="Q17" s="5"/>
      <c r="R17" s="66" t="s">
        <v>4</v>
      </c>
      <c r="S17" s="69"/>
      <c r="T17" s="70"/>
      <c r="U17" s="39"/>
      <c r="V17" s="66" t="s">
        <v>5</v>
      </c>
      <c r="W17" s="69"/>
      <c r="X17" s="69"/>
      <c r="Y17" s="69"/>
      <c r="Z17" s="69"/>
      <c r="AA17" s="70"/>
      <c r="AB17" s="39"/>
      <c r="AC17" s="67" t="s">
        <v>6</v>
      </c>
      <c r="AD17" s="74"/>
      <c r="AE17" s="74"/>
    </row>
    <row r="18" spans="1:31" x14ac:dyDescent="0.25">
      <c r="B18" s="68"/>
      <c r="C18" s="68"/>
      <c r="D18" s="6"/>
      <c r="E18" s="68"/>
      <c r="F18" s="6"/>
      <c r="G18" s="71"/>
      <c r="H18" s="72"/>
      <c r="I18" s="72"/>
      <c r="J18" s="72"/>
      <c r="K18" s="72"/>
      <c r="L18" s="73"/>
      <c r="M18" s="42"/>
      <c r="N18" s="71"/>
      <c r="O18" s="72"/>
      <c r="P18" s="73"/>
      <c r="Q18" s="42"/>
      <c r="R18" s="71"/>
      <c r="S18" s="72"/>
      <c r="T18" s="73"/>
      <c r="U18" s="43"/>
      <c r="V18" s="71"/>
      <c r="W18" s="72"/>
      <c r="X18" s="72"/>
      <c r="Y18" s="72"/>
      <c r="Z18" s="72"/>
      <c r="AA18" s="73"/>
      <c r="AB18" s="43"/>
      <c r="AC18" s="74"/>
      <c r="AD18" s="74"/>
      <c r="AE18" s="74"/>
    </row>
    <row r="19" spans="1:31" ht="25.5" x14ac:dyDescent="0.25">
      <c r="A19" s="18"/>
      <c r="B19" s="11" t="s">
        <v>7</v>
      </c>
      <c r="C19" s="11" t="s">
        <v>8</v>
      </c>
      <c r="D19" s="7"/>
      <c r="E19" s="13" t="s">
        <v>9</v>
      </c>
      <c r="F19" s="7"/>
      <c r="G19" s="10" t="s">
        <v>59</v>
      </c>
      <c r="H19" s="10" t="s">
        <v>60</v>
      </c>
      <c r="I19" s="10" t="s">
        <v>61</v>
      </c>
      <c r="J19" s="10" t="s">
        <v>62</v>
      </c>
      <c r="K19" s="10" t="s">
        <v>13</v>
      </c>
      <c r="L19" s="10" t="s">
        <v>14</v>
      </c>
      <c r="M19" s="44"/>
      <c r="N19" s="11" t="s">
        <v>15</v>
      </c>
      <c r="O19" s="10" t="s">
        <v>13</v>
      </c>
      <c r="P19" s="10" t="s">
        <v>14</v>
      </c>
      <c r="Q19" s="44"/>
      <c r="R19" s="11" t="s">
        <v>15</v>
      </c>
      <c r="S19" s="10" t="s">
        <v>13</v>
      </c>
      <c r="T19" s="10" t="s">
        <v>14</v>
      </c>
      <c r="U19" s="44"/>
      <c r="V19" s="10" t="s">
        <v>63</v>
      </c>
      <c r="W19" s="10" t="s">
        <v>64</v>
      </c>
      <c r="X19" s="11" t="s">
        <v>94</v>
      </c>
      <c r="Y19" s="10" t="s">
        <v>66</v>
      </c>
      <c r="Z19" s="10" t="s">
        <v>13</v>
      </c>
      <c r="AA19" s="10" t="s">
        <v>14</v>
      </c>
      <c r="AB19" s="44"/>
      <c r="AC19" s="11" t="s">
        <v>15</v>
      </c>
      <c r="AD19" s="10" t="s">
        <v>13</v>
      </c>
      <c r="AE19" s="10" t="s">
        <v>14</v>
      </c>
    </row>
    <row r="20" spans="1:31" x14ac:dyDescent="0.25">
      <c r="A20" s="18"/>
      <c r="B20" s="5">
        <f>RANK(C20,C$20:C$23,0)</f>
        <v>1</v>
      </c>
      <c r="C20" s="5">
        <f>SUMIF($G$13:$AE$13,1,$G20:$AE20)</f>
        <v>475</v>
      </c>
      <c r="D20" s="8"/>
      <c r="E20" s="14" t="s">
        <v>42</v>
      </c>
      <c r="F20" s="8"/>
      <c r="G20" s="5">
        <v>65</v>
      </c>
      <c r="H20" s="5">
        <v>70</v>
      </c>
      <c r="I20" s="5">
        <v>0</v>
      </c>
      <c r="J20" s="5">
        <f>G20+H20+I20</f>
        <v>135</v>
      </c>
      <c r="K20" s="5">
        <f>RANK(J20,J$20:J$23,0)</f>
        <v>4</v>
      </c>
      <c r="L20" s="5">
        <f>VLOOKUP(K20,'Место-баллы'!$A$3:$B$52,2,0)</f>
        <v>85</v>
      </c>
      <c r="M20" s="45"/>
      <c r="N20" s="5">
        <f>21+36+38</f>
        <v>95</v>
      </c>
      <c r="O20" s="5">
        <f>RANK(N20,N$20:N$23,0)</f>
        <v>1</v>
      </c>
      <c r="P20" s="5">
        <f>VLOOKUP(O20,'Место-баллы'!$A$3:$B$52,2,0)</f>
        <v>100</v>
      </c>
      <c r="Q20" s="45"/>
      <c r="R20" s="5">
        <v>245</v>
      </c>
      <c r="S20" s="5">
        <f>RANK(R20,R$20:R$23,0)</f>
        <v>1</v>
      </c>
      <c r="T20" s="5">
        <f>VLOOKUP(S20,'Место-баллы'!$A$3:$B$52,2,0)</f>
        <v>100</v>
      </c>
      <c r="U20" s="45"/>
      <c r="V20" s="5">
        <v>35</v>
      </c>
      <c r="W20" s="5">
        <v>21</v>
      </c>
      <c r="X20" s="5">
        <v>35</v>
      </c>
      <c r="Y20" s="5">
        <f>V20+W20+X20</f>
        <v>91</v>
      </c>
      <c r="Z20" s="5">
        <f>RANK(Y20,Y$20:Y$23,0)</f>
        <v>1</v>
      </c>
      <c r="AA20" s="5">
        <f>VLOOKUP(Z20,'Место-баллы'!$A$3:$B$52,2,0)</f>
        <v>100</v>
      </c>
      <c r="AB20" s="45"/>
      <c r="AC20" s="5">
        <f>384+32</f>
        <v>416</v>
      </c>
      <c r="AD20" s="5">
        <f>RANK(AC20,AC$20:AC$23,0)</f>
        <v>3</v>
      </c>
      <c r="AE20" s="5">
        <f>VLOOKUP(AD20,'Место-баллы'!$A$3:$B$52,2,0)</f>
        <v>90</v>
      </c>
    </row>
    <row r="21" spans="1:31" x14ac:dyDescent="0.25">
      <c r="A21" s="18"/>
      <c r="B21" s="5">
        <f>RANK(C21,C$20:C$23,0)</f>
        <v>2</v>
      </c>
      <c r="C21" s="5">
        <f>SUMIF($G$13:$AE$13,1,$G21:$AE21)</f>
        <v>470</v>
      </c>
      <c r="D21" s="8"/>
      <c r="E21" s="51" t="s">
        <v>79</v>
      </c>
      <c r="F21" s="8"/>
      <c r="G21" s="5">
        <v>80</v>
      </c>
      <c r="H21" s="5">
        <v>75</v>
      </c>
      <c r="I21" s="5">
        <v>75</v>
      </c>
      <c r="J21" s="5">
        <f>G21+H21+I21</f>
        <v>230</v>
      </c>
      <c r="K21" s="5">
        <f>RANK(J21,J$20:J$23,0)</f>
        <v>1</v>
      </c>
      <c r="L21" s="5">
        <f>VLOOKUP(K21,'Место-баллы'!$A$3:$B$52,2,0)</f>
        <v>100</v>
      </c>
      <c r="M21" s="45"/>
      <c r="N21" s="5">
        <f>16+30+30</f>
        <v>76</v>
      </c>
      <c r="O21" s="5">
        <f>RANK(N21,N$20:N$23,0)</f>
        <v>4</v>
      </c>
      <c r="P21" s="5">
        <f>VLOOKUP(O21,'Место-баллы'!$A$3:$B$52,2,0)</f>
        <v>85</v>
      </c>
      <c r="Q21" s="45"/>
      <c r="R21" s="5">
        <v>244</v>
      </c>
      <c r="S21" s="5">
        <f>RANK(R21,R$20:R$23,0)</f>
        <v>2</v>
      </c>
      <c r="T21" s="5">
        <f>VLOOKUP(S21,'Место-баллы'!$A$3:$B$52,2,0)</f>
        <v>95</v>
      </c>
      <c r="U21" s="45"/>
      <c r="V21" s="5">
        <v>35</v>
      </c>
      <c r="W21" s="5">
        <v>24</v>
      </c>
      <c r="X21" s="5">
        <v>26</v>
      </c>
      <c r="Y21" s="5">
        <f>V21+W21+X21</f>
        <v>85</v>
      </c>
      <c r="Z21" s="5">
        <f>RANK(Y21,Y$20:Y$23,0)</f>
        <v>3</v>
      </c>
      <c r="AA21" s="5">
        <f>VLOOKUP(Z21,'Место-баллы'!$A$3:$B$52,2,0)</f>
        <v>90</v>
      </c>
      <c r="AB21" s="45"/>
      <c r="AC21" s="5">
        <f>384+60</f>
        <v>444</v>
      </c>
      <c r="AD21" s="5">
        <f>RANK(AC21,AC$20:AC$23,0)</f>
        <v>1</v>
      </c>
      <c r="AE21" s="5">
        <f>VLOOKUP(AD21,'Место-баллы'!$A$3:$B$52,2,0)</f>
        <v>100</v>
      </c>
    </row>
    <row r="22" spans="1:31" x14ac:dyDescent="0.25">
      <c r="A22" s="18"/>
      <c r="B22" s="5">
        <f>RANK(C22,C$20:C$23,0)</f>
        <v>3</v>
      </c>
      <c r="C22" s="5">
        <f>SUMIF($G$13:$AE$13,1,$G22:$AE22)</f>
        <v>465</v>
      </c>
      <c r="D22" s="8"/>
      <c r="E22" s="51" t="s">
        <v>77</v>
      </c>
      <c r="F22" s="8"/>
      <c r="G22" s="5">
        <v>70</v>
      </c>
      <c r="H22" s="5">
        <v>75</v>
      </c>
      <c r="I22" s="5">
        <v>70</v>
      </c>
      <c r="J22" s="5">
        <f>G22+H22+I22</f>
        <v>215</v>
      </c>
      <c r="K22" s="5">
        <f>RANK(J22,J$20:J$23,0)</f>
        <v>2</v>
      </c>
      <c r="L22" s="5">
        <f>VLOOKUP(K22,'Место-баллы'!$A$3:$B$52,2,0)</f>
        <v>95</v>
      </c>
      <c r="M22" s="45"/>
      <c r="N22" s="5">
        <f>23+33+24</f>
        <v>80</v>
      </c>
      <c r="O22" s="5">
        <f>RANK(N22,N$20:N$23,0)</f>
        <v>3</v>
      </c>
      <c r="P22" s="5">
        <f>VLOOKUP(O22,'Место-баллы'!$A$3:$B$52,2,0)</f>
        <v>90</v>
      </c>
      <c r="Q22" s="45"/>
      <c r="R22" s="5">
        <v>151</v>
      </c>
      <c r="S22" s="5">
        <f>RANK(R22,R$20:R$23,0)</f>
        <v>4</v>
      </c>
      <c r="T22" s="5">
        <f>VLOOKUP(S22,'Место-баллы'!$A$3:$B$52,2,0)</f>
        <v>85</v>
      </c>
      <c r="U22" s="45"/>
      <c r="V22" s="5">
        <v>32</v>
      </c>
      <c r="W22" s="5">
        <v>28</v>
      </c>
      <c r="X22" s="5">
        <v>31</v>
      </c>
      <c r="Y22" s="5">
        <f>V22+W22+X22</f>
        <v>91</v>
      </c>
      <c r="Z22" s="5">
        <f>RANK(Y22,Y$20:Y$23,0)</f>
        <v>1</v>
      </c>
      <c r="AA22" s="5">
        <f>VLOOKUP(Z22,'Место-баллы'!$A$3:$B$52,2,0)</f>
        <v>100</v>
      </c>
      <c r="AB22" s="45"/>
      <c r="AC22" s="5">
        <f>384+59</f>
        <v>443</v>
      </c>
      <c r="AD22" s="5">
        <f>RANK(AC22,AC$20:AC$23,0)</f>
        <v>2</v>
      </c>
      <c r="AE22" s="5">
        <f>VLOOKUP(AD22,'Место-баллы'!$A$3:$B$52,2,0)</f>
        <v>95</v>
      </c>
    </row>
    <row r="23" spans="1:31" x14ac:dyDescent="0.25">
      <c r="A23" s="18"/>
      <c r="B23" s="5">
        <f>RANK(C23,C$20:C$23,0)</f>
        <v>4</v>
      </c>
      <c r="C23" s="5">
        <f>SUMIF($G$13:$AE$13,1,$G23:$AE23)</f>
        <v>445</v>
      </c>
      <c r="D23" s="8"/>
      <c r="E23" s="33" t="s">
        <v>78</v>
      </c>
      <c r="F23" s="8"/>
      <c r="G23" s="5">
        <v>48</v>
      </c>
      <c r="H23" s="5">
        <v>48</v>
      </c>
      <c r="I23" s="5">
        <v>48</v>
      </c>
      <c r="J23" s="5">
        <f>G23+H23+I23</f>
        <v>144</v>
      </c>
      <c r="K23" s="5">
        <f>RANK(J23,J$20:J$23,0)</f>
        <v>3</v>
      </c>
      <c r="L23" s="5">
        <f>VLOOKUP(K23,'Место-баллы'!$A$3:$B$52,2,0)</f>
        <v>90</v>
      </c>
      <c r="M23" s="45"/>
      <c r="N23" s="5">
        <f>20+34+32</f>
        <v>86</v>
      </c>
      <c r="O23" s="5">
        <f>RANK(N23,N$20:N$23,0)</f>
        <v>2</v>
      </c>
      <c r="P23" s="5">
        <f>VLOOKUP(O23,'Место-баллы'!$A$3:$B$52,2,0)</f>
        <v>95</v>
      </c>
      <c r="Q23" s="45"/>
      <c r="R23" s="5">
        <v>179</v>
      </c>
      <c r="S23" s="5">
        <f>RANK(R23,R$20:R$23,0)</f>
        <v>3</v>
      </c>
      <c r="T23" s="5">
        <f>VLOOKUP(S23,'Место-баллы'!$A$3:$B$52,2,0)</f>
        <v>90</v>
      </c>
      <c r="U23" s="45"/>
      <c r="V23" s="5">
        <v>27</v>
      </c>
      <c r="W23" s="5">
        <v>14</v>
      </c>
      <c r="X23" s="5">
        <v>26</v>
      </c>
      <c r="Y23" s="5">
        <f>V23+W23+X23</f>
        <v>67</v>
      </c>
      <c r="Z23" s="5">
        <f>RANK(Y23,Y$20:Y$23,0)</f>
        <v>4</v>
      </c>
      <c r="AA23" s="5">
        <f>VLOOKUP(Z23,'Место-баллы'!$A$3:$B$52,2,0)</f>
        <v>85</v>
      </c>
      <c r="AB23" s="45"/>
      <c r="AC23" s="5">
        <v>329</v>
      </c>
      <c r="AD23" s="5">
        <f>RANK(AC23,AC$20:AC$23,0)</f>
        <v>4</v>
      </c>
      <c r="AE23" s="5">
        <f>VLOOKUP(AD23,'Место-баллы'!$A$3:$B$52,2,0)</f>
        <v>85</v>
      </c>
    </row>
    <row r="24" spans="1:31" ht="15.75" customHeight="1" x14ac:dyDescent="0.25">
      <c r="A24" s="18"/>
    </row>
    <row r="25" spans="1:31" ht="15.75" customHeight="1" x14ac:dyDescent="0.25">
      <c r="A25" s="18"/>
    </row>
    <row r="26" spans="1:31" ht="15.75" customHeight="1" outlineLevel="1" x14ac:dyDescent="0.35">
      <c r="A26" s="18"/>
      <c r="B26" s="40" t="s">
        <v>22</v>
      </c>
      <c r="C26" s="40"/>
      <c r="D26" s="40"/>
      <c r="E26" s="40"/>
      <c r="F26" s="40"/>
      <c r="G26" s="40"/>
      <c r="H26" s="40"/>
      <c r="I26" s="40"/>
    </row>
    <row r="27" spans="1:31" ht="15.75" customHeight="1" outlineLevel="1" x14ac:dyDescent="0.25">
      <c r="B27" s="16"/>
      <c r="C27" s="16"/>
      <c r="D27" s="16"/>
      <c r="E27" s="16"/>
    </row>
    <row r="28" spans="1:31" ht="15.75" customHeight="1" outlineLevel="1" x14ac:dyDescent="0.35">
      <c r="B28" s="40" t="s">
        <v>23</v>
      </c>
      <c r="C28" s="40"/>
      <c r="D28" s="40"/>
      <c r="E28" s="40"/>
      <c r="F28" s="40"/>
      <c r="G28" s="40"/>
      <c r="H28" s="40"/>
      <c r="I28" s="40"/>
    </row>
    <row r="29" spans="1:31" ht="15.75" customHeight="1" x14ac:dyDescent="0.25"/>
    <row r="30" spans="1:31" ht="15.75" customHeight="1" x14ac:dyDescent="0.25"/>
    <row r="31" spans="1:31" ht="15.75" customHeight="1" x14ac:dyDescent="0.25"/>
    <row r="32" spans="1:3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</sheetData>
  <autoFilter ref="B19:AE19" xr:uid="{2497E213-3F81-4262-91F0-CEF694007F8F}">
    <sortState ref="B20:AE23">
      <sortCondition ref="B19"/>
    </sortState>
  </autoFilter>
  <mergeCells count="16">
    <mergeCell ref="B7:AE7"/>
    <mergeCell ref="B17:C18"/>
    <mergeCell ref="E17:E18"/>
    <mergeCell ref="G17:L18"/>
    <mergeCell ref="N17:P18"/>
    <mergeCell ref="B8:AE8"/>
    <mergeCell ref="B9:AE9"/>
    <mergeCell ref="B11:AE11"/>
    <mergeCell ref="R17:T18"/>
    <mergeCell ref="V17:AA18"/>
    <mergeCell ref="AC17:AE18"/>
    <mergeCell ref="B1:AE1"/>
    <mergeCell ref="B2:AE2"/>
    <mergeCell ref="B3:AE3"/>
    <mergeCell ref="B4:AE4"/>
    <mergeCell ref="B6:AE6"/>
  </mergeCells>
  <printOptions horizontalCentered="1" verticalCentered="1"/>
  <pageMargins left="0" right="0" top="0" bottom="0" header="0" footer="0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9D66-8F7B-471A-94E9-BCB4949B4E03}">
  <sheetPr>
    <pageSetUpPr fitToPage="1"/>
  </sheetPr>
  <dimension ref="A1:AL90"/>
  <sheetViews>
    <sheetView zoomScaleNormal="100" workbookViewId="0">
      <selection activeCell="P29" sqref="P29"/>
    </sheetView>
  </sheetViews>
  <sheetFormatPr defaultColWidth="14.42578125" defaultRowHeight="15" customHeight="1" outlineLevelRow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18.5703125" bestFit="1" customWidth="1"/>
    <col min="6" max="6" width="1.42578125" customWidth="1"/>
    <col min="7" max="9" width="5.5703125" customWidth="1" outlineLevel="1"/>
    <col min="10" max="10" width="7.85546875" bestFit="1" customWidth="1"/>
    <col min="11" max="11" width="7.140625" bestFit="1" customWidth="1"/>
    <col min="12" max="12" width="6.85546875" bestFit="1" customWidth="1"/>
    <col min="13" max="13" width="1.42578125" customWidth="1"/>
    <col min="14" max="14" width="6.85546875" customWidth="1"/>
    <col min="15" max="15" width="7.140625" bestFit="1" customWidth="1"/>
    <col min="16" max="16" width="6.85546875" bestFit="1" customWidth="1"/>
    <col min="17" max="17" width="1.42578125" customWidth="1"/>
    <col min="18" max="18" width="6.85546875" customWidth="1"/>
    <col min="19" max="19" width="7.140625" bestFit="1" customWidth="1"/>
    <col min="20" max="20" width="6.85546875" bestFit="1" customWidth="1"/>
    <col min="21" max="21" width="1.42578125" customWidth="1"/>
    <col min="22" max="22" width="6.5703125" customWidth="1" outlineLevel="1"/>
    <col min="23" max="23" width="9.140625" customWidth="1" outlineLevel="1"/>
    <col min="24" max="24" width="7.85546875" customWidth="1" outlineLevel="1"/>
    <col min="25" max="25" width="7" bestFit="1" customWidth="1"/>
    <col min="26" max="26" width="7.140625" customWidth="1"/>
    <col min="27" max="27" width="6.85546875" customWidth="1"/>
    <col min="28" max="28" width="1.42578125" customWidth="1"/>
    <col min="29" max="29" width="6.85546875" customWidth="1"/>
    <col min="30" max="30" width="7.140625" bestFit="1" customWidth="1"/>
    <col min="31" max="31" width="6.85546875" bestFit="1" customWidth="1"/>
    <col min="32" max="32" width="6.85546875" customWidth="1"/>
    <col min="33" max="33" width="7.140625" bestFit="1" customWidth="1"/>
    <col min="34" max="34" width="6.85546875" bestFit="1" customWidth="1"/>
    <col min="35" max="35" width="1.42578125" customWidth="1"/>
    <col min="36" max="36" width="6.85546875" customWidth="1"/>
    <col min="37" max="37" width="7.140625" bestFit="1" customWidth="1"/>
    <col min="38" max="38" width="6.85546875" bestFit="1" customWidth="1"/>
  </cols>
  <sheetData>
    <row r="1" spans="2:38" ht="15" customHeight="1" outlineLevel="1" x14ac:dyDescent="0.25">
      <c r="B1" s="64" t="s">
        <v>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36"/>
      <c r="AG1" s="36"/>
      <c r="AH1" s="36"/>
      <c r="AI1" s="36"/>
      <c r="AJ1" s="36"/>
      <c r="AK1" s="36"/>
      <c r="AL1" s="36"/>
    </row>
    <row r="2" spans="2:38" ht="15" customHeight="1" outlineLevel="1" x14ac:dyDescent="0.25">
      <c r="B2" s="64" t="s">
        <v>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36"/>
      <c r="AG2" s="36"/>
      <c r="AH2" s="36"/>
      <c r="AI2" s="36"/>
      <c r="AJ2" s="36"/>
      <c r="AK2" s="36"/>
      <c r="AL2" s="36"/>
    </row>
    <row r="3" spans="2:38" ht="15" customHeight="1" outlineLevel="1" x14ac:dyDescent="0.25">
      <c r="B3" s="64" t="s">
        <v>21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36"/>
      <c r="AG3" s="36"/>
      <c r="AH3" s="36"/>
      <c r="AI3" s="36"/>
      <c r="AJ3" s="36"/>
      <c r="AK3" s="36"/>
      <c r="AL3" s="36"/>
    </row>
    <row r="4" spans="2:38" ht="15" customHeight="1" outlineLevel="1" x14ac:dyDescent="0.25">
      <c r="B4" s="65" t="s">
        <v>19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37"/>
      <c r="AG4" s="37"/>
      <c r="AH4" s="37"/>
      <c r="AI4" s="37"/>
      <c r="AJ4" s="37"/>
      <c r="AK4" s="37"/>
      <c r="AL4" s="37"/>
    </row>
    <row r="5" spans="2:38" ht="15" customHeight="1" outlineLevel="1" x14ac:dyDescent="0.25"/>
    <row r="6" spans="2:38" ht="18.75" customHeight="1" outlineLevel="1" x14ac:dyDescent="0.25">
      <c r="B6" s="62" t="s">
        <v>92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38"/>
      <c r="AG6" s="38"/>
      <c r="AH6" s="38"/>
      <c r="AI6" s="38"/>
      <c r="AJ6" s="38"/>
      <c r="AK6" s="38"/>
      <c r="AL6" s="38"/>
    </row>
    <row r="7" spans="2:38" ht="18.75" customHeight="1" outlineLevel="1" x14ac:dyDescent="0.25">
      <c r="B7" s="62" t="s">
        <v>93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38"/>
      <c r="AG7" s="38"/>
      <c r="AH7" s="38"/>
      <c r="AI7" s="38"/>
      <c r="AJ7" s="38"/>
      <c r="AK7" s="38"/>
      <c r="AL7" s="38"/>
    </row>
    <row r="8" spans="2:38" ht="18.75" customHeight="1" outlineLevel="1" x14ac:dyDescent="0.25">
      <c r="B8" s="62" t="s">
        <v>51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38"/>
      <c r="AG8" s="38"/>
      <c r="AH8" s="38"/>
      <c r="AI8" s="38"/>
      <c r="AJ8" s="38"/>
      <c r="AK8" s="38"/>
      <c r="AL8" s="38"/>
    </row>
    <row r="9" spans="2:38" ht="18.75" customHeight="1" outlineLevel="1" x14ac:dyDescent="0.25">
      <c r="B9" s="62" t="s">
        <v>52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38"/>
      <c r="AG9" s="38"/>
      <c r="AH9" s="38"/>
      <c r="AI9" s="38"/>
      <c r="AJ9" s="38"/>
      <c r="AK9" s="38"/>
      <c r="AL9" s="38"/>
    </row>
    <row r="10" spans="2:38" ht="15" customHeight="1" outlineLevel="1" x14ac:dyDescent="0.3">
      <c r="I10" s="15"/>
    </row>
    <row r="11" spans="2:38" ht="25.5" customHeight="1" outlineLevel="1" x14ac:dyDescent="0.25">
      <c r="B11" s="63" t="s">
        <v>20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41"/>
      <c r="AG11" s="41"/>
      <c r="AH11" s="41"/>
      <c r="AI11" s="41"/>
      <c r="AJ11" s="41"/>
      <c r="AK11" s="41"/>
      <c r="AL11" s="41"/>
    </row>
    <row r="13" spans="2:38" hidden="1" outlineLevel="1" x14ac:dyDescent="0.25">
      <c r="E13" s="12"/>
      <c r="G13" s="2"/>
      <c r="H13" s="2"/>
      <c r="I13" s="2"/>
      <c r="J13" s="2"/>
      <c r="K13" s="2"/>
      <c r="L13" s="3">
        <v>1</v>
      </c>
      <c r="N13" s="2"/>
      <c r="O13" s="4"/>
      <c r="P13" s="9">
        <v>1</v>
      </c>
      <c r="R13" s="2"/>
      <c r="S13" s="2"/>
      <c r="T13" s="9">
        <v>1</v>
      </c>
      <c r="V13" s="2"/>
      <c r="W13" s="2"/>
      <c r="X13" s="2"/>
      <c r="Y13" s="2"/>
      <c r="Z13" s="2"/>
      <c r="AA13" s="3">
        <v>1</v>
      </c>
      <c r="AC13" s="2"/>
      <c r="AE13" s="9">
        <v>1</v>
      </c>
    </row>
    <row r="14" spans="2:38" hidden="1" outlineLevel="1" x14ac:dyDescent="0.25">
      <c r="E14" s="12"/>
      <c r="G14" s="2"/>
      <c r="H14" s="2"/>
      <c r="I14" s="2"/>
      <c r="J14" s="2"/>
      <c r="K14" s="2"/>
      <c r="L14" s="2"/>
      <c r="N14" s="2"/>
      <c r="O14" s="2"/>
      <c r="P14" s="2"/>
      <c r="R14" s="2"/>
      <c r="S14" s="2"/>
      <c r="T14" s="2"/>
      <c r="V14" s="2"/>
      <c r="W14" s="2"/>
      <c r="X14" s="2"/>
      <c r="Y14" s="2"/>
      <c r="Z14" s="2"/>
      <c r="AA14" s="2"/>
      <c r="AC14" s="2"/>
      <c r="AD14" s="2"/>
    </row>
    <row r="15" spans="2:38" hidden="1" outlineLevel="1" x14ac:dyDescent="0.25">
      <c r="E15" s="12"/>
      <c r="G15" s="4"/>
      <c r="H15" s="4"/>
      <c r="I15" s="4"/>
      <c r="J15" s="4"/>
      <c r="K15" s="2"/>
      <c r="L15" s="2"/>
      <c r="N15" s="2"/>
      <c r="O15" s="2"/>
      <c r="P15" s="2"/>
      <c r="R15" s="2"/>
      <c r="S15" s="2"/>
      <c r="T15" s="2"/>
      <c r="V15" s="2"/>
      <c r="W15" s="2"/>
      <c r="X15" s="2"/>
      <c r="Y15" s="2"/>
      <c r="Z15" s="2"/>
      <c r="AA15" s="2"/>
      <c r="AC15" s="4"/>
      <c r="AD15" s="2"/>
    </row>
    <row r="16" spans="2:38" hidden="1" outlineLevel="1" x14ac:dyDescent="0.25">
      <c r="G16" s="2"/>
      <c r="H16" s="2"/>
      <c r="I16" s="2"/>
      <c r="J16" s="2"/>
      <c r="K16" s="2"/>
      <c r="L16" s="2"/>
      <c r="N16" s="2"/>
      <c r="O16" s="2"/>
      <c r="P16" s="2"/>
      <c r="R16" s="2"/>
      <c r="S16" s="2"/>
      <c r="T16" s="2"/>
      <c r="V16" s="2"/>
      <c r="W16" s="2"/>
      <c r="X16" s="2"/>
      <c r="Y16" s="2"/>
      <c r="Z16" s="2"/>
      <c r="AA16" s="2"/>
      <c r="AC16" s="2"/>
      <c r="AD16" s="2"/>
    </row>
    <row r="17" spans="1:31" ht="15" customHeight="1" collapsed="1" x14ac:dyDescent="0.25">
      <c r="B17" s="67" t="s">
        <v>3</v>
      </c>
      <c r="C17" s="68"/>
      <c r="D17" s="5"/>
      <c r="E17" s="67" t="s">
        <v>34</v>
      </c>
      <c r="F17" s="5"/>
      <c r="G17" s="66" t="s">
        <v>25</v>
      </c>
      <c r="H17" s="69"/>
      <c r="I17" s="69"/>
      <c r="J17" s="69"/>
      <c r="K17" s="69"/>
      <c r="L17" s="70"/>
      <c r="M17" s="5"/>
      <c r="N17" s="66" t="s">
        <v>24</v>
      </c>
      <c r="O17" s="69"/>
      <c r="P17" s="70"/>
      <c r="Q17" s="5"/>
      <c r="R17" s="66" t="s">
        <v>4</v>
      </c>
      <c r="S17" s="69"/>
      <c r="T17" s="70"/>
      <c r="U17" s="39"/>
      <c r="V17" s="66" t="s">
        <v>5</v>
      </c>
      <c r="W17" s="69"/>
      <c r="X17" s="69"/>
      <c r="Y17" s="69"/>
      <c r="Z17" s="69"/>
      <c r="AA17" s="70"/>
      <c r="AB17" s="39"/>
      <c r="AC17" s="67" t="s">
        <v>6</v>
      </c>
      <c r="AD17" s="74"/>
      <c r="AE17" s="74"/>
    </row>
    <row r="18" spans="1:31" x14ac:dyDescent="0.25">
      <c r="B18" s="68"/>
      <c r="C18" s="68"/>
      <c r="D18" s="6"/>
      <c r="E18" s="68"/>
      <c r="F18" s="6"/>
      <c r="G18" s="71"/>
      <c r="H18" s="72"/>
      <c r="I18" s="72"/>
      <c r="J18" s="72"/>
      <c r="K18" s="72"/>
      <c r="L18" s="73"/>
      <c r="M18" s="42"/>
      <c r="N18" s="71"/>
      <c r="O18" s="72"/>
      <c r="P18" s="73"/>
      <c r="Q18" s="42"/>
      <c r="R18" s="71"/>
      <c r="S18" s="72"/>
      <c r="T18" s="73"/>
      <c r="U18" s="43"/>
      <c r="V18" s="71"/>
      <c r="W18" s="72"/>
      <c r="X18" s="72"/>
      <c r="Y18" s="72"/>
      <c r="Z18" s="72"/>
      <c r="AA18" s="73"/>
      <c r="AB18" s="43"/>
      <c r="AC18" s="74"/>
      <c r="AD18" s="74"/>
      <c r="AE18" s="74"/>
    </row>
    <row r="19" spans="1:31" ht="25.5" x14ac:dyDescent="0.25">
      <c r="A19" s="18"/>
      <c r="B19" s="11" t="s">
        <v>7</v>
      </c>
      <c r="C19" s="11" t="s">
        <v>8</v>
      </c>
      <c r="D19" s="7"/>
      <c r="E19" s="13" t="s">
        <v>9</v>
      </c>
      <c r="F19" s="7"/>
      <c r="G19" s="10" t="s">
        <v>59</v>
      </c>
      <c r="H19" s="10" t="s">
        <v>60</v>
      </c>
      <c r="I19" s="10" t="s">
        <v>61</v>
      </c>
      <c r="J19" s="10" t="s">
        <v>62</v>
      </c>
      <c r="K19" s="10" t="s">
        <v>13</v>
      </c>
      <c r="L19" s="10" t="s">
        <v>14</v>
      </c>
      <c r="M19" s="44"/>
      <c r="N19" s="11" t="s">
        <v>15</v>
      </c>
      <c r="O19" s="10" t="s">
        <v>13</v>
      </c>
      <c r="P19" s="10" t="s">
        <v>14</v>
      </c>
      <c r="Q19" s="44"/>
      <c r="R19" s="11" t="s">
        <v>15</v>
      </c>
      <c r="S19" s="10" t="s">
        <v>13</v>
      </c>
      <c r="T19" s="10" t="s">
        <v>14</v>
      </c>
      <c r="U19" s="44"/>
      <c r="V19" s="10" t="s">
        <v>63</v>
      </c>
      <c r="W19" s="10" t="s">
        <v>64</v>
      </c>
      <c r="X19" s="11" t="s">
        <v>94</v>
      </c>
      <c r="Y19" s="10" t="s">
        <v>66</v>
      </c>
      <c r="Z19" s="10" t="s">
        <v>13</v>
      </c>
      <c r="AA19" s="10" t="s">
        <v>14</v>
      </c>
      <c r="AB19" s="44"/>
      <c r="AC19" s="11" t="s">
        <v>15</v>
      </c>
      <c r="AD19" s="10" t="s">
        <v>13</v>
      </c>
      <c r="AE19" s="10" t="s">
        <v>14</v>
      </c>
    </row>
    <row r="20" spans="1:31" x14ac:dyDescent="0.25">
      <c r="A20" s="18"/>
      <c r="B20" s="5">
        <f>RANK(C20,C$20:C$26,0)</f>
        <v>1</v>
      </c>
      <c r="C20" s="5">
        <f>SUMIF($G$13:$AE$13,1,$G20:$AE20)</f>
        <v>495</v>
      </c>
      <c r="D20" s="8"/>
      <c r="E20" s="33" t="s">
        <v>43</v>
      </c>
      <c r="F20" s="8"/>
      <c r="G20" s="5">
        <v>70</v>
      </c>
      <c r="H20" s="5">
        <v>71</v>
      </c>
      <c r="I20" s="5">
        <v>72</v>
      </c>
      <c r="J20" s="5">
        <f>G20+H20+I20</f>
        <v>213</v>
      </c>
      <c r="K20" s="5">
        <f>RANK(J20,J$20:J$26,0)</f>
        <v>2</v>
      </c>
      <c r="L20" s="5">
        <f>VLOOKUP(K20,'Место-баллы'!$A$3:$B$52,2,0)</f>
        <v>95</v>
      </c>
      <c r="M20" s="45"/>
      <c r="N20" s="5">
        <f>23+35+37</f>
        <v>95</v>
      </c>
      <c r="O20" s="5">
        <f>RANK(N20,N$20:N$26,0)</f>
        <v>1</v>
      </c>
      <c r="P20" s="5">
        <f>VLOOKUP(O20,'Место-баллы'!$A$3:$B$52,2,0)</f>
        <v>100</v>
      </c>
      <c r="Q20" s="45"/>
      <c r="R20" s="5">
        <v>178</v>
      </c>
      <c r="S20" s="5">
        <f>RANK(R20,R$20:R$26,0)</f>
        <v>1</v>
      </c>
      <c r="T20" s="5">
        <f>VLOOKUP(S20,'Место-баллы'!$A$3:$B$52,2,0)</f>
        <v>100</v>
      </c>
      <c r="U20" s="45"/>
      <c r="V20" s="5">
        <v>18</v>
      </c>
      <c r="W20" s="5">
        <v>24</v>
      </c>
      <c r="X20" s="5">
        <v>33</v>
      </c>
      <c r="Y20" s="5">
        <f>V20+W20+X20</f>
        <v>75</v>
      </c>
      <c r="Z20" s="5">
        <f>RANK(Y20,Y$20:Y$26,0)</f>
        <v>1</v>
      </c>
      <c r="AA20" s="5">
        <f>VLOOKUP(Z20,'Место-баллы'!$A$3:$B$52,2,0)</f>
        <v>100</v>
      </c>
      <c r="AB20" s="45"/>
      <c r="AC20" s="5">
        <f>384+60</f>
        <v>444</v>
      </c>
      <c r="AD20" s="5">
        <f>RANK(AC20,AC$20:AC$26,0)</f>
        <v>1</v>
      </c>
      <c r="AE20" s="5">
        <f>VLOOKUP(AD20,'Место-баллы'!$A$3:$B$52,2,0)</f>
        <v>100</v>
      </c>
    </row>
    <row r="21" spans="1:31" x14ac:dyDescent="0.25">
      <c r="A21" s="18"/>
      <c r="B21" s="5">
        <f>RANK(C21,C$20:C$26,0)</f>
        <v>2</v>
      </c>
      <c r="C21" s="5">
        <f>SUMIF($G$13:$AE$13,1,$G21:$AE21)</f>
        <v>470</v>
      </c>
      <c r="D21" s="8"/>
      <c r="E21" s="33" t="s">
        <v>81</v>
      </c>
      <c r="F21" s="8"/>
      <c r="G21" s="5">
        <v>70</v>
      </c>
      <c r="H21" s="5">
        <v>75</v>
      </c>
      <c r="I21" s="5">
        <v>75</v>
      </c>
      <c r="J21" s="5">
        <f>G21+H21+I21</f>
        <v>220</v>
      </c>
      <c r="K21" s="5">
        <f>RANK(J21,J$20:J$26,0)</f>
        <v>1</v>
      </c>
      <c r="L21" s="5">
        <f>VLOOKUP(K21,'Место-баллы'!$A$3:$B$52,2,0)</f>
        <v>100</v>
      </c>
      <c r="M21" s="45"/>
      <c r="N21" s="5">
        <f>23+32+32</f>
        <v>87</v>
      </c>
      <c r="O21" s="5">
        <f>RANK(N21,N$20:N$26,0)</f>
        <v>2</v>
      </c>
      <c r="P21" s="5">
        <f>VLOOKUP(O21,'Место-баллы'!$A$3:$B$52,2,0)</f>
        <v>95</v>
      </c>
      <c r="Q21" s="45"/>
      <c r="R21" s="5">
        <v>162</v>
      </c>
      <c r="S21" s="5">
        <f>RANK(R21,R$20:R$26,0)</f>
        <v>4</v>
      </c>
      <c r="T21" s="5">
        <f>VLOOKUP(S21,'Место-баллы'!$A$3:$B$52,2,0)</f>
        <v>85</v>
      </c>
      <c r="U21" s="45"/>
      <c r="V21" s="5">
        <v>18</v>
      </c>
      <c r="W21" s="5">
        <v>25</v>
      </c>
      <c r="X21" s="5">
        <v>26</v>
      </c>
      <c r="Y21" s="5">
        <f>V21+W21+X21</f>
        <v>69</v>
      </c>
      <c r="Z21" s="5">
        <f>RANK(Y21,Y$20:Y$26,0)</f>
        <v>2</v>
      </c>
      <c r="AA21" s="5">
        <f>VLOOKUP(Z21,'Место-баллы'!$A$3:$B$52,2,0)</f>
        <v>95</v>
      </c>
      <c r="AB21" s="45"/>
      <c r="AC21" s="5">
        <f>384+52</f>
        <v>436</v>
      </c>
      <c r="AD21" s="5">
        <f>RANK(AC21,AC$20:AC$26,0)</f>
        <v>2</v>
      </c>
      <c r="AE21" s="5">
        <f>VLOOKUP(AD21,'Место-баллы'!$A$3:$B$52,2,0)</f>
        <v>95</v>
      </c>
    </row>
    <row r="22" spans="1:31" x14ac:dyDescent="0.25">
      <c r="A22" s="18"/>
      <c r="B22" s="5">
        <f>RANK(C22,C$20:C$26,0)</f>
        <v>3</v>
      </c>
      <c r="C22" s="5">
        <f>SUMIF($G$13:$AE$13,1,$G22:$AE22)</f>
        <v>433</v>
      </c>
      <c r="D22" s="8"/>
      <c r="E22" s="33" t="s">
        <v>80</v>
      </c>
      <c r="F22" s="8"/>
      <c r="G22" s="5">
        <v>0</v>
      </c>
      <c r="H22" s="5">
        <v>62</v>
      </c>
      <c r="I22" s="5">
        <v>62</v>
      </c>
      <c r="J22" s="5">
        <f>G22+H22+I22</f>
        <v>124</v>
      </c>
      <c r="K22" s="5">
        <f>RANK(J22,J$20:J$26,0)</f>
        <v>7</v>
      </c>
      <c r="L22" s="5">
        <f>VLOOKUP(K22,'Место-баллы'!$A$3:$B$52,2,0)</f>
        <v>73</v>
      </c>
      <c r="M22" s="45"/>
      <c r="N22" s="5">
        <f>17+35+33</f>
        <v>85</v>
      </c>
      <c r="O22" s="5">
        <f>RANK(N22,N$20:N$26,0)</f>
        <v>4</v>
      </c>
      <c r="P22" s="5">
        <f>VLOOKUP(O22,'Место-баллы'!$A$3:$B$52,2,0)</f>
        <v>85</v>
      </c>
      <c r="Q22" s="45"/>
      <c r="R22" s="5">
        <v>172</v>
      </c>
      <c r="S22" s="5">
        <f>RANK(R22,R$20:R$26,0)</f>
        <v>2</v>
      </c>
      <c r="T22" s="5">
        <f>VLOOKUP(S22,'Место-баллы'!$A$3:$B$52,2,0)</f>
        <v>95</v>
      </c>
      <c r="U22" s="45"/>
      <c r="V22" s="5">
        <v>13</v>
      </c>
      <c r="W22" s="5">
        <v>28</v>
      </c>
      <c r="X22" s="5">
        <v>26</v>
      </c>
      <c r="Y22" s="5">
        <f>V22+W22+X22</f>
        <v>67</v>
      </c>
      <c r="Z22" s="5">
        <f>RANK(Y22,Y$20:Y$26,0)</f>
        <v>3</v>
      </c>
      <c r="AA22" s="5">
        <f>VLOOKUP(Z22,'Место-баллы'!$A$3:$B$52,2,0)</f>
        <v>90</v>
      </c>
      <c r="AB22" s="45"/>
      <c r="AC22" s="5">
        <f>384+44</f>
        <v>428</v>
      </c>
      <c r="AD22" s="5">
        <f>RANK(AC22,AC$20:AC$26,0)</f>
        <v>3</v>
      </c>
      <c r="AE22" s="5">
        <f>VLOOKUP(AD22,'Место-баллы'!$A$3:$B$52,2,0)</f>
        <v>90</v>
      </c>
    </row>
    <row r="23" spans="1:31" x14ac:dyDescent="0.25">
      <c r="A23" s="18"/>
      <c r="B23" s="5">
        <f>RANK(C23,C$20:C$26,0)</f>
        <v>4</v>
      </c>
      <c r="C23" s="5">
        <f>SUMIF($G$13:$AE$13,1,$G23:$AE23)</f>
        <v>425</v>
      </c>
      <c r="D23" s="8"/>
      <c r="E23" s="33" t="s">
        <v>84</v>
      </c>
      <c r="F23" s="8"/>
      <c r="G23" s="5">
        <v>65</v>
      </c>
      <c r="H23" s="5">
        <v>65</v>
      </c>
      <c r="I23" s="5">
        <v>65</v>
      </c>
      <c r="J23" s="5">
        <f>G23+H23+I23</f>
        <v>195</v>
      </c>
      <c r="K23" s="5">
        <f>RANK(J23,J$20:J$26,0)</f>
        <v>4</v>
      </c>
      <c r="L23" s="5">
        <f>VLOOKUP(K23,'Место-баллы'!$A$3:$B$52,2,0)</f>
        <v>85</v>
      </c>
      <c r="M23" s="45"/>
      <c r="N23" s="5">
        <f>20+29+29</f>
        <v>78</v>
      </c>
      <c r="O23" s="5">
        <f>RANK(N23,N$20:N$26,0)</f>
        <v>5</v>
      </c>
      <c r="P23" s="5">
        <f>VLOOKUP(O23,'Место-баллы'!$A$3:$B$52,2,0)</f>
        <v>80</v>
      </c>
      <c r="Q23" s="45"/>
      <c r="R23" s="5">
        <v>165</v>
      </c>
      <c r="S23" s="5">
        <f>RANK(R23,R$20:R$26,0)</f>
        <v>3</v>
      </c>
      <c r="T23" s="5">
        <f>VLOOKUP(S23,'Место-баллы'!$A$3:$B$52,2,0)</f>
        <v>90</v>
      </c>
      <c r="U23" s="45"/>
      <c r="V23" s="5">
        <v>14</v>
      </c>
      <c r="W23" s="5">
        <v>19</v>
      </c>
      <c r="X23" s="5">
        <v>31</v>
      </c>
      <c r="Y23" s="5">
        <f>V23+W23+X23</f>
        <v>64</v>
      </c>
      <c r="Z23" s="5">
        <f>RANK(Y23,Y$20:Y$26,0)</f>
        <v>4</v>
      </c>
      <c r="AA23" s="5">
        <f>VLOOKUP(Z23,'Место-баллы'!$A$3:$B$52,2,0)</f>
        <v>85</v>
      </c>
      <c r="AB23" s="45"/>
      <c r="AC23" s="5">
        <v>372</v>
      </c>
      <c r="AD23" s="5">
        <f>RANK(AC23,AC$20:AC$26,0)</f>
        <v>4</v>
      </c>
      <c r="AE23" s="5">
        <f>VLOOKUP(AD23,'Место-баллы'!$A$3:$B$52,2,0)</f>
        <v>85</v>
      </c>
    </row>
    <row r="24" spans="1:31" x14ac:dyDescent="0.25">
      <c r="A24" s="18"/>
      <c r="B24" s="5">
        <f>RANK(C24,C$20:C$26,0)</f>
        <v>5</v>
      </c>
      <c r="C24" s="5">
        <f>SUMIF($G$13:$AE$13,1,$G24:$AE24)</f>
        <v>405</v>
      </c>
      <c r="D24" s="8"/>
      <c r="E24" s="33" t="s">
        <v>41</v>
      </c>
      <c r="F24" s="8"/>
      <c r="G24" s="5">
        <v>60</v>
      </c>
      <c r="H24" s="5">
        <v>61</v>
      </c>
      <c r="I24" s="5">
        <v>63</v>
      </c>
      <c r="J24" s="5">
        <f>G24+H24+I24</f>
        <v>184</v>
      </c>
      <c r="K24" s="5">
        <f>RANK(J24,J$20:J$26,0)</f>
        <v>5</v>
      </c>
      <c r="L24" s="5">
        <f>VLOOKUP(K24,'Место-баллы'!$A$3:$B$52,2,0)</f>
        <v>80</v>
      </c>
      <c r="M24" s="45"/>
      <c r="N24" s="5">
        <f>23+32+32</f>
        <v>87</v>
      </c>
      <c r="O24" s="5">
        <f>RANK(N24,N$20:N$26,0)</f>
        <v>2</v>
      </c>
      <c r="P24" s="5">
        <f>VLOOKUP(O24,'Место-баллы'!$A$3:$B$52,2,0)</f>
        <v>95</v>
      </c>
      <c r="Q24" s="45"/>
      <c r="R24" s="5">
        <v>131</v>
      </c>
      <c r="S24" s="5">
        <f>RANK(R24,R$20:R$26,0)</f>
        <v>6</v>
      </c>
      <c r="T24" s="5">
        <f>VLOOKUP(S24,'Место-баллы'!$A$3:$B$52,2,0)</f>
        <v>75</v>
      </c>
      <c r="U24" s="45"/>
      <c r="V24" s="5">
        <v>10</v>
      </c>
      <c r="W24" s="5">
        <v>26</v>
      </c>
      <c r="X24" s="5">
        <v>25</v>
      </c>
      <c r="Y24" s="5">
        <f>V24+W24+X24</f>
        <v>61</v>
      </c>
      <c r="Z24" s="5">
        <f>RANK(Y24,Y$20:Y$26,0)</f>
        <v>5</v>
      </c>
      <c r="AA24" s="5">
        <f>VLOOKUP(Z24,'Место-баллы'!$A$3:$B$52,2,0)</f>
        <v>80</v>
      </c>
      <c r="AB24" s="45"/>
      <c r="AC24" s="5">
        <v>250</v>
      </c>
      <c r="AD24" s="5">
        <f>RANK(AC24,AC$20:AC$26,0)</f>
        <v>6</v>
      </c>
      <c r="AE24" s="5">
        <f>VLOOKUP(AD24,'Место-баллы'!$A$3:$B$52,2,0)</f>
        <v>75</v>
      </c>
    </row>
    <row r="25" spans="1:31" x14ac:dyDescent="0.25">
      <c r="A25" s="18"/>
      <c r="B25" s="5">
        <f>RANK(C25,C$20:C$26,0)</f>
        <v>6</v>
      </c>
      <c r="C25" s="5">
        <f>SUMIF($G$13:$AE$13,1,$G25:$AE25)</f>
        <v>398</v>
      </c>
      <c r="D25" s="8"/>
      <c r="E25" s="33" t="s">
        <v>83</v>
      </c>
      <c r="F25" s="8"/>
      <c r="G25" s="5">
        <v>70</v>
      </c>
      <c r="H25" s="5">
        <v>65</v>
      </c>
      <c r="I25" s="5">
        <v>65</v>
      </c>
      <c r="J25" s="5">
        <f>G25+H25+I25</f>
        <v>200</v>
      </c>
      <c r="K25" s="5">
        <f>RANK(J25,J$20:J$26,0)</f>
        <v>3</v>
      </c>
      <c r="L25" s="5">
        <f>VLOOKUP(K25,'Место-баллы'!$A$3:$B$52,2,0)</f>
        <v>90</v>
      </c>
      <c r="M25" s="45"/>
      <c r="N25" s="5">
        <f>20+30+28</f>
        <v>78</v>
      </c>
      <c r="O25" s="5">
        <f>RANK(N25,N$20:N$26,0)</f>
        <v>5</v>
      </c>
      <c r="P25" s="5">
        <f>VLOOKUP(O25,'Место-баллы'!$A$3:$B$52,2,0)</f>
        <v>80</v>
      </c>
      <c r="Q25" s="45"/>
      <c r="R25" s="5">
        <v>160</v>
      </c>
      <c r="S25" s="5">
        <f>RANK(R25,R$20:R$26,0)</f>
        <v>5</v>
      </c>
      <c r="T25" s="5">
        <f>VLOOKUP(S25,'Место-баллы'!$A$3:$B$52,2,0)</f>
        <v>80</v>
      </c>
      <c r="U25" s="45"/>
      <c r="V25" s="5">
        <v>10</v>
      </c>
      <c r="W25" s="5">
        <v>22</v>
      </c>
      <c r="X25" s="5">
        <v>27</v>
      </c>
      <c r="Y25" s="5">
        <f>V25+W25+X25</f>
        <v>59</v>
      </c>
      <c r="Z25" s="5">
        <f>RANK(Y25,Y$20:Y$26,0)</f>
        <v>6</v>
      </c>
      <c r="AA25" s="5">
        <f>VLOOKUP(Z25,'Место-баллы'!$A$3:$B$52,2,0)</f>
        <v>75</v>
      </c>
      <c r="AB25" s="45"/>
      <c r="AC25" s="5">
        <v>195</v>
      </c>
      <c r="AD25" s="5">
        <f>RANK(AC25,AC$20:AC$26,0)</f>
        <v>7</v>
      </c>
      <c r="AE25" s="5">
        <f>VLOOKUP(AD25,'Место-баллы'!$A$3:$B$52,2,0)</f>
        <v>73</v>
      </c>
    </row>
    <row r="26" spans="1:31" x14ac:dyDescent="0.25">
      <c r="A26" s="18"/>
      <c r="B26" s="5">
        <f>RANK(C26,C$20:C$26,0)</f>
        <v>7</v>
      </c>
      <c r="C26" s="5">
        <f>SUMIF($G$13:$AE$13,1,$G26:$AE26)</f>
        <v>374</v>
      </c>
      <c r="D26" s="8"/>
      <c r="E26" s="33" t="s">
        <v>82</v>
      </c>
      <c r="F26" s="8"/>
      <c r="G26" s="5">
        <v>60</v>
      </c>
      <c r="H26" s="5">
        <v>60</v>
      </c>
      <c r="I26" s="5">
        <v>60</v>
      </c>
      <c r="J26" s="5">
        <f>G26+H26+I26</f>
        <v>180</v>
      </c>
      <c r="K26" s="5">
        <f>RANK(J26,J$20:J$26,0)</f>
        <v>6</v>
      </c>
      <c r="L26" s="5">
        <f>VLOOKUP(K26,'Место-баллы'!$A$3:$B$52,2,0)</f>
        <v>75</v>
      </c>
      <c r="M26" s="45"/>
      <c r="N26" s="5">
        <f>19+26+25</f>
        <v>70</v>
      </c>
      <c r="O26" s="5">
        <f>RANK(N26,N$20:N$26,0)</f>
        <v>7</v>
      </c>
      <c r="P26" s="5">
        <f>VLOOKUP(O26,'Место-баллы'!$A$3:$B$52,2,0)</f>
        <v>73</v>
      </c>
      <c r="Q26" s="45"/>
      <c r="R26" s="5">
        <v>81</v>
      </c>
      <c r="S26" s="5">
        <f>RANK(R26,R$20:R$26,0)</f>
        <v>7</v>
      </c>
      <c r="T26" s="5">
        <f>VLOOKUP(S26,'Место-баллы'!$A$3:$B$52,2,0)</f>
        <v>73</v>
      </c>
      <c r="U26" s="45"/>
      <c r="V26" s="5">
        <v>6</v>
      </c>
      <c r="W26" s="5">
        <v>15</v>
      </c>
      <c r="X26" s="5">
        <v>26</v>
      </c>
      <c r="Y26" s="5">
        <f>V26+W26+X26</f>
        <v>47</v>
      </c>
      <c r="Z26" s="5">
        <f>RANK(Y26,Y$20:Y$26,0)</f>
        <v>7</v>
      </c>
      <c r="AA26" s="5">
        <f>VLOOKUP(Z26,'Место-баллы'!$A$3:$B$52,2,0)</f>
        <v>73</v>
      </c>
      <c r="AB26" s="45"/>
      <c r="AC26" s="5">
        <v>256</v>
      </c>
      <c r="AD26" s="5">
        <f>RANK(AC26,AC$20:AC$26,0)</f>
        <v>5</v>
      </c>
      <c r="AE26" s="5">
        <f>VLOOKUP(AD26,'Место-баллы'!$A$3:$B$52,2,0)</f>
        <v>80</v>
      </c>
    </row>
    <row r="27" spans="1:31" ht="15.75" customHeight="1" x14ac:dyDescent="0.25">
      <c r="A27" s="18"/>
    </row>
    <row r="28" spans="1:31" ht="15.75" customHeight="1" x14ac:dyDescent="0.25">
      <c r="A28" s="18"/>
    </row>
    <row r="29" spans="1:31" ht="15.75" customHeight="1" outlineLevel="1" x14ac:dyDescent="0.35">
      <c r="A29" s="18"/>
      <c r="B29" s="40" t="s">
        <v>22</v>
      </c>
      <c r="C29" s="40"/>
      <c r="D29" s="40"/>
      <c r="E29" s="40"/>
      <c r="F29" s="40"/>
      <c r="G29" s="40"/>
      <c r="H29" s="40"/>
      <c r="I29" s="40"/>
    </row>
    <row r="30" spans="1:31" ht="15.75" customHeight="1" outlineLevel="1" x14ac:dyDescent="0.25">
      <c r="B30" s="16"/>
      <c r="C30" s="16"/>
      <c r="D30" s="16"/>
      <c r="E30" s="16"/>
    </row>
    <row r="31" spans="1:31" ht="15.75" customHeight="1" outlineLevel="1" x14ac:dyDescent="0.35">
      <c r="B31" s="40" t="s">
        <v>23</v>
      </c>
      <c r="C31" s="40"/>
      <c r="D31" s="40"/>
      <c r="E31" s="40"/>
      <c r="F31" s="40"/>
      <c r="G31" s="40"/>
      <c r="H31" s="40"/>
      <c r="I31" s="40"/>
    </row>
    <row r="32" spans="1:3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</sheetData>
  <autoFilter ref="B19:AE19" xr:uid="{107C5A9B-9B6A-4578-8904-55488A4C55E9}">
    <sortState ref="B20:AE26">
      <sortCondition ref="B19"/>
    </sortState>
  </autoFilter>
  <mergeCells count="16">
    <mergeCell ref="B17:C18"/>
    <mergeCell ref="E17:E18"/>
    <mergeCell ref="G17:L18"/>
    <mergeCell ref="B7:AE7"/>
    <mergeCell ref="B8:AE8"/>
    <mergeCell ref="B9:AE9"/>
    <mergeCell ref="B11:AE11"/>
    <mergeCell ref="N17:P18"/>
    <mergeCell ref="R17:T18"/>
    <mergeCell ref="V17:AA18"/>
    <mergeCell ref="AC17:AE18"/>
    <mergeCell ref="B1:AE1"/>
    <mergeCell ref="B2:AE2"/>
    <mergeCell ref="B3:AE3"/>
    <mergeCell ref="B4:AE4"/>
    <mergeCell ref="B6:AE6"/>
  </mergeCells>
  <printOptions horizontalCentered="1" verticalCentered="1"/>
  <pageMargins left="0" right="0" top="0" bottom="0" header="0" footer="0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BE42-AA59-402D-AB64-FC71FE732BDD}">
  <sheetPr>
    <pageSetUpPr fitToPage="1"/>
  </sheetPr>
  <dimension ref="A1:AL84"/>
  <sheetViews>
    <sheetView zoomScaleNormal="100" workbookViewId="0">
      <selection activeCell="R25" sqref="R25"/>
    </sheetView>
  </sheetViews>
  <sheetFormatPr defaultColWidth="14.42578125" defaultRowHeight="15" customHeight="1" outlineLevelRow="1" outlineLevelCol="1" x14ac:dyDescent="0.25"/>
  <cols>
    <col min="1" max="1" width="8.7109375" customWidth="1"/>
    <col min="2" max="2" width="9" customWidth="1"/>
    <col min="3" max="3" width="7.42578125" customWidth="1"/>
    <col min="4" max="4" width="1.42578125" customWidth="1"/>
    <col min="5" max="5" width="21.7109375" bestFit="1" customWidth="1"/>
    <col min="6" max="6" width="1.42578125" customWidth="1"/>
    <col min="7" max="9" width="5.5703125" customWidth="1" outlineLevel="1"/>
    <col min="10" max="10" width="7.85546875" bestFit="1" customWidth="1"/>
    <col min="11" max="11" width="7.140625" bestFit="1" customWidth="1"/>
    <col min="12" max="12" width="6.85546875" bestFit="1" customWidth="1"/>
    <col min="13" max="13" width="1.42578125" customWidth="1"/>
    <col min="14" max="14" width="6.85546875" customWidth="1"/>
    <col min="15" max="15" width="7.140625" bestFit="1" customWidth="1"/>
    <col min="16" max="16" width="6.85546875" bestFit="1" customWidth="1"/>
    <col min="17" max="17" width="1.42578125" customWidth="1"/>
    <col min="18" max="18" width="6.85546875" customWidth="1"/>
    <col min="19" max="19" width="7.140625" bestFit="1" customWidth="1"/>
    <col min="20" max="20" width="6.85546875" bestFit="1" customWidth="1"/>
    <col min="21" max="21" width="1.5703125" customWidth="1"/>
    <col min="22" max="22" width="6.5703125" customWidth="1" outlineLevel="1"/>
    <col min="23" max="23" width="9.140625" customWidth="1" outlineLevel="1"/>
    <col min="24" max="24" width="8" customWidth="1" outlineLevel="1"/>
    <col min="25" max="25" width="7" bestFit="1" customWidth="1"/>
    <col min="26" max="26" width="7.140625" customWidth="1"/>
    <col min="27" max="27" width="6.85546875" customWidth="1"/>
    <col min="28" max="28" width="1.42578125" customWidth="1"/>
    <col min="29" max="29" width="6.85546875" customWidth="1"/>
    <col min="30" max="30" width="7.140625" bestFit="1" customWidth="1"/>
    <col min="31" max="31" width="6.85546875" bestFit="1" customWidth="1"/>
    <col min="32" max="32" width="6.85546875" customWidth="1"/>
    <col min="33" max="33" width="7.140625" bestFit="1" customWidth="1"/>
    <col min="34" max="34" width="6.85546875" bestFit="1" customWidth="1"/>
    <col min="35" max="35" width="1.42578125" customWidth="1"/>
    <col min="36" max="36" width="6.85546875" customWidth="1"/>
    <col min="37" max="37" width="7.140625" bestFit="1" customWidth="1"/>
    <col min="38" max="38" width="6.85546875" bestFit="1" customWidth="1"/>
  </cols>
  <sheetData>
    <row r="1" spans="2:38" ht="15" customHeight="1" outlineLevel="1" x14ac:dyDescent="0.25">
      <c r="B1" s="64" t="s">
        <v>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36"/>
      <c r="AG1" s="36"/>
      <c r="AH1" s="36"/>
      <c r="AI1" s="36"/>
      <c r="AJ1" s="36"/>
      <c r="AK1" s="36"/>
      <c r="AL1" s="36"/>
    </row>
    <row r="2" spans="2:38" ht="15" customHeight="1" outlineLevel="1" x14ac:dyDescent="0.25">
      <c r="B2" s="64" t="s">
        <v>18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36"/>
      <c r="AG2" s="36"/>
      <c r="AH2" s="36"/>
      <c r="AI2" s="36"/>
      <c r="AJ2" s="36"/>
      <c r="AK2" s="36"/>
      <c r="AL2" s="36"/>
    </row>
    <row r="3" spans="2:38" ht="15" customHeight="1" outlineLevel="1" x14ac:dyDescent="0.25">
      <c r="B3" s="64" t="s">
        <v>21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36"/>
      <c r="AG3" s="36"/>
      <c r="AH3" s="36"/>
      <c r="AI3" s="36"/>
      <c r="AJ3" s="36"/>
      <c r="AK3" s="36"/>
      <c r="AL3" s="36"/>
    </row>
    <row r="4" spans="2:38" ht="15" customHeight="1" outlineLevel="1" x14ac:dyDescent="0.25">
      <c r="B4" s="65" t="s">
        <v>19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37"/>
      <c r="AG4" s="37"/>
      <c r="AH4" s="37"/>
      <c r="AI4" s="37"/>
      <c r="AJ4" s="37"/>
      <c r="AK4" s="37"/>
      <c r="AL4" s="37"/>
    </row>
    <row r="5" spans="2:38" ht="15" customHeight="1" outlineLevel="1" x14ac:dyDescent="0.25"/>
    <row r="6" spans="2:38" ht="18.75" customHeight="1" outlineLevel="1" x14ac:dyDescent="0.25">
      <c r="B6" s="62" t="s">
        <v>92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38"/>
      <c r="AG6" s="38"/>
      <c r="AH6" s="38"/>
      <c r="AI6" s="38"/>
      <c r="AJ6" s="38"/>
      <c r="AK6" s="38"/>
      <c r="AL6" s="38"/>
    </row>
    <row r="7" spans="2:38" ht="18.75" customHeight="1" outlineLevel="1" x14ac:dyDescent="0.25">
      <c r="B7" s="62" t="s">
        <v>93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38"/>
      <c r="AG7" s="38"/>
      <c r="AH7" s="38"/>
      <c r="AI7" s="38"/>
      <c r="AJ7" s="38"/>
      <c r="AK7" s="38"/>
      <c r="AL7" s="38"/>
    </row>
    <row r="8" spans="2:38" ht="18.75" customHeight="1" outlineLevel="1" x14ac:dyDescent="0.25">
      <c r="B8" s="62" t="s">
        <v>51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38"/>
      <c r="AG8" s="38"/>
      <c r="AH8" s="38"/>
      <c r="AI8" s="38"/>
      <c r="AJ8" s="38"/>
      <c r="AK8" s="38"/>
      <c r="AL8" s="38"/>
    </row>
    <row r="9" spans="2:38" ht="18.75" customHeight="1" outlineLevel="1" x14ac:dyDescent="0.25">
      <c r="B9" s="62" t="s">
        <v>53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38"/>
      <c r="AG9" s="38"/>
      <c r="AH9" s="38"/>
      <c r="AI9" s="38"/>
      <c r="AJ9" s="38"/>
      <c r="AK9" s="38"/>
      <c r="AL9" s="38"/>
    </row>
    <row r="10" spans="2:38" ht="15" customHeight="1" outlineLevel="1" x14ac:dyDescent="0.3">
      <c r="I10" s="15"/>
    </row>
    <row r="11" spans="2:38" ht="25.5" customHeight="1" outlineLevel="1" x14ac:dyDescent="0.25">
      <c r="B11" s="63" t="s">
        <v>20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41"/>
      <c r="AG11" s="41"/>
      <c r="AH11" s="41"/>
      <c r="AI11" s="41"/>
      <c r="AJ11" s="41"/>
      <c r="AK11" s="41"/>
      <c r="AL11" s="41"/>
    </row>
    <row r="13" spans="2:38" hidden="1" outlineLevel="1" x14ac:dyDescent="0.25">
      <c r="E13" s="12"/>
      <c r="G13" s="2"/>
      <c r="H13" s="2"/>
      <c r="I13" s="2"/>
      <c r="J13" s="2"/>
      <c r="K13" s="2"/>
      <c r="L13" s="3">
        <v>1</v>
      </c>
      <c r="N13" s="2"/>
      <c r="O13" s="4"/>
      <c r="P13" s="9">
        <v>1</v>
      </c>
      <c r="R13" s="2"/>
      <c r="S13" s="2"/>
      <c r="T13" s="9">
        <v>1</v>
      </c>
      <c r="V13" s="2"/>
      <c r="W13" s="2"/>
      <c r="X13" s="2"/>
      <c r="Y13" s="2"/>
      <c r="Z13" s="2"/>
      <c r="AA13" s="3">
        <v>1</v>
      </c>
      <c r="AC13" s="2"/>
      <c r="AE13" s="9">
        <v>1</v>
      </c>
    </row>
    <row r="14" spans="2:38" hidden="1" outlineLevel="1" x14ac:dyDescent="0.25">
      <c r="E14" s="12"/>
      <c r="G14" s="2"/>
      <c r="H14" s="2"/>
      <c r="I14" s="2"/>
      <c r="J14" s="2"/>
      <c r="K14" s="2"/>
      <c r="L14" s="2"/>
      <c r="N14" s="2"/>
      <c r="O14" s="2"/>
      <c r="P14" s="2"/>
      <c r="R14" s="2"/>
      <c r="S14" s="2"/>
      <c r="T14" s="2"/>
      <c r="V14" s="2"/>
      <c r="W14" s="2"/>
      <c r="X14" s="2"/>
      <c r="Y14" s="2"/>
      <c r="Z14" s="2"/>
      <c r="AA14" s="2"/>
      <c r="AC14" s="2"/>
      <c r="AD14" s="2"/>
    </row>
    <row r="15" spans="2:38" hidden="1" outlineLevel="1" x14ac:dyDescent="0.25">
      <c r="E15" s="12"/>
      <c r="G15" s="4"/>
      <c r="H15" s="4"/>
      <c r="I15" s="4"/>
      <c r="J15" s="4"/>
      <c r="K15" s="2"/>
      <c r="L15" s="2"/>
      <c r="N15" s="2"/>
      <c r="O15" s="2"/>
      <c r="P15" s="2"/>
      <c r="R15" s="2"/>
      <c r="S15" s="2"/>
      <c r="T15" s="2"/>
      <c r="V15" s="2"/>
      <c r="W15" s="2"/>
      <c r="X15" s="2"/>
      <c r="Y15" s="2"/>
      <c r="Z15" s="2"/>
      <c r="AA15" s="2"/>
      <c r="AC15" s="4"/>
      <c r="AD15" s="2"/>
    </row>
    <row r="16" spans="2:38" hidden="1" outlineLevel="1" x14ac:dyDescent="0.25">
      <c r="G16" s="2"/>
      <c r="H16" s="2"/>
      <c r="I16" s="2"/>
      <c r="J16" s="2"/>
      <c r="K16" s="2"/>
      <c r="L16" s="2"/>
      <c r="N16" s="2"/>
      <c r="O16" s="2"/>
      <c r="P16" s="2"/>
      <c r="R16" s="2"/>
      <c r="S16" s="2"/>
      <c r="T16" s="2"/>
      <c r="V16" s="2"/>
      <c r="W16" s="2"/>
      <c r="X16" s="2"/>
      <c r="Y16" s="2"/>
      <c r="Z16" s="2"/>
      <c r="AA16" s="2"/>
      <c r="AC16" s="2"/>
      <c r="AD16" s="2"/>
    </row>
    <row r="17" spans="1:31" ht="15" customHeight="1" collapsed="1" x14ac:dyDescent="0.25">
      <c r="B17" s="67" t="s">
        <v>3</v>
      </c>
      <c r="C17" s="68"/>
      <c r="D17" s="5"/>
      <c r="E17" s="67" t="s">
        <v>33</v>
      </c>
      <c r="F17" s="5"/>
      <c r="G17" s="66" t="s">
        <v>25</v>
      </c>
      <c r="H17" s="69"/>
      <c r="I17" s="69"/>
      <c r="J17" s="69"/>
      <c r="K17" s="69"/>
      <c r="L17" s="70"/>
      <c r="M17" s="5"/>
      <c r="N17" s="66" t="s">
        <v>24</v>
      </c>
      <c r="O17" s="69"/>
      <c r="P17" s="70"/>
      <c r="Q17" s="5"/>
      <c r="R17" s="66" t="s">
        <v>4</v>
      </c>
      <c r="S17" s="69"/>
      <c r="T17" s="70"/>
      <c r="U17" s="39"/>
      <c r="V17" s="66" t="s">
        <v>5</v>
      </c>
      <c r="W17" s="69"/>
      <c r="X17" s="69"/>
      <c r="Y17" s="69"/>
      <c r="Z17" s="69"/>
      <c r="AA17" s="70"/>
      <c r="AB17" s="39"/>
      <c r="AC17" s="67" t="s">
        <v>6</v>
      </c>
      <c r="AD17" s="74"/>
      <c r="AE17" s="74"/>
    </row>
    <row r="18" spans="1:31" x14ac:dyDescent="0.25">
      <c r="B18" s="68"/>
      <c r="C18" s="68"/>
      <c r="D18" s="6"/>
      <c r="E18" s="68"/>
      <c r="F18" s="6"/>
      <c r="G18" s="71"/>
      <c r="H18" s="72"/>
      <c r="I18" s="72"/>
      <c r="J18" s="72"/>
      <c r="K18" s="72"/>
      <c r="L18" s="73"/>
      <c r="M18" s="42"/>
      <c r="N18" s="71"/>
      <c r="O18" s="72"/>
      <c r="P18" s="73"/>
      <c r="Q18" s="42"/>
      <c r="R18" s="71"/>
      <c r="S18" s="72"/>
      <c r="T18" s="73"/>
      <c r="U18" s="43"/>
      <c r="V18" s="71"/>
      <c r="W18" s="72"/>
      <c r="X18" s="72"/>
      <c r="Y18" s="72"/>
      <c r="Z18" s="72"/>
      <c r="AA18" s="73"/>
      <c r="AB18" s="43"/>
      <c r="AC18" s="74"/>
      <c r="AD18" s="74"/>
      <c r="AE18" s="74"/>
    </row>
    <row r="19" spans="1:31" ht="25.5" x14ac:dyDescent="0.25">
      <c r="A19" s="18"/>
      <c r="B19" s="11" t="s">
        <v>7</v>
      </c>
      <c r="C19" s="11" t="s">
        <v>8</v>
      </c>
      <c r="D19" s="7"/>
      <c r="E19" s="13" t="s">
        <v>9</v>
      </c>
      <c r="F19" s="7"/>
      <c r="G19" s="10" t="s">
        <v>59</v>
      </c>
      <c r="H19" s="10" t="s">
        <v>60</v>
      </c>
      <c r="I19" s="10" t="s">
        <v>61</v>
      </c>
      <c r="J19" s="10" t="s">
        <v>62</v>
      </c>
      <c r="K19" s="10" t="s">
        <v>13</v>
      </c>
      <c r="L19" s="10" t="s">
        <v>14</v>
      </c>
      <c r="M19" s="44"/>
      <c r="N19" s="11" t="s">
        <v>15</v>
      </c>
      <c r="O19" s="10" t="s">
        <v>13</v>
      </c>
      <c r="P19" s="10" t="s">
        <v>14</v>
      </c>
      <c r="Q19" s="44"/>
      <c r="R19" s="11" t="s">
        <v>15</v>
      </c>
      <c r="S19" s="10" t="s">
        <v>13</v>
      </c>
      <c r="T19" s="10" t="s">
        <v>14</v>
      </c>
      <c r="U19" s="44"/>
      <c r="V19" s="10" t="s">
        <v>63</v>
      </c>
      <c r="W19" s="10" t="s">
        <v>64</v>
      </c>
      <c r="X19" s="11" t="s">
        <v>94</v>
      </c>
      <c r="Y19" s="10" t="s">
        <v>66</v>
      </c>
      <c r="Z19" s="10" t="s">
        <v>13</v>
      </c>
      <c r="AA19" s="10" t="s">
        <v>14</v>
      </c>
      <c r="AB19" s="44"/>
      <c r="AC19" s="11" t="s">
        <v>15</v>
      </c>
      <c r="AD19" s="10" t="s">
        <v>13</v>
      </c>
      <c r="AE19" s="10" t="s">
        <v>14</v>
      </c>
    </row>
    <row r="20" spans="1:31" ht="15" customHeight="1" x14ac:dyDescent="0.25">
      <c r="A20" s="18"/>
      <c r="B20" s="5">
        <f>RANK(C20,C$20:C$21,0)</f>
        <v>1</v>
      </c>
      <c r="C20" s="5">
        <f>SUMIF($G$13:$AE$13,1,$G20:$AE20)</f>
        <v>495</v>
      </c>
      <c r="D20" s="8"/>
      <c r="E20" s="14" t="s">
        <v>44</v>
      </c>
      <c r="F20" s="8"/>
      <c r="G20" s="5">
        <v>100</v>
      </c>
      <c r="H20" s="5">
        <v>100</v>
      </c>
      <c r="I20" s="5">
        <v>90</v>
      </c>
      <c r="J20" s="5">
        <f>G20+H20+I20</f>
        <v>290</v>
      </c>
      <c r="K20" s="5">
        <f>RANK(J20,J$20:J$21,0)</f>
        <v>1</v>
      </c>
      <c r="L20" s="5">
        <f>VLOOKUP(K20,'Место-баллы'!$A$3:$B$52,2,0)</f>
        <v>100</v>
      </c>
      <c r="M20" s="45"/>
      <c r="N20" s="5">
        <f>24+43+38</f>
        <v>105</v>
      </c>
      <c r="O20" s="5">
        <f>RANK(N20,N$20:N$21,0)</f>
        <v>1</v>
      </c>
      <c r="P20" s="5">
        <f>VLOOKUP(O20,'Место-баллы'!$A$3:$B$52,2,0)</f>
        <v>100</v>
      </c>
      <c r="Q20" s="45"/>
      <c r="R20" s="5">
        <v>184</v>
      </c>
      <c r="S20" s="5">
        <f>RANK(R20,R$20:R$21,0)</f>
        <v>1</v>
      </c>
      <c r="T20" s="5">
        <f>VLOOKUP(S20,'Место-баллы'!$A$3:$B$52,2,0)</f>
        <v>100</v>
      </c>
      <c r="U20" s="45"/>
      <c r="V20" s="5">
        <v>21</v>
      </c>
      <c r="W20" s="5">
        <v>19</v>
      </c>
      <c r="X20" s="5">
        <v>30</v>
      </c>
      <c r="Y20" s="5">
        <f>V20+W20+X20</f>
        <v>70</v>
      </c>
      <c r="Z20" s="5">
        <f>RANK(Y20,Y$20:Y$21,0)</f>
        <v>1</v>
      </c>
      <c r="AA20" s="5">
        <f>VLOOKUP(Z20,'Место-баллы'!$A$3:$B$52,2,0)</f>
        <v>100</v>
      </c>
      <c r="AB20" s="45"/>
      <c r="AC20" s="5">
        <f>384+49</f>
        <v>433</v>
      </c>
      <c r="AD20" s="5">
        <f>RANK(AC20,AC$20:AC$21,0)</f>
        <v>2</v>
      </c>
      <c r="AE20" s="5">
        <f>VLOOKUP(AD20,'Место-баллы'!$A$3:$B$52,2,0)</f>
        <v>95</v>
      </c>
    </row>
    <row r="21" spans="1:31" x14ac:dyDescent="0.25">
      <c r="A21" s="18"/>
      <c r="B21" s="5">
        <f>RANK(C21,C$20:C$21,0)</f>
        <v>2</v>
      </c>
      <c r="C21" s="5">
        <f>SUMIF($G$13:$AE$13,1,$G21:$AE21)</f>
        <v>480</v>
      </c>
      <c r="D21" s="8"/>
      <c r="E21" s="14" t="s">
        <v>85</v>
      </c>
      <c r="F21" s="8"/>
      <c r="G21" s="5">
        <v>85</v>
      </c>
      <c r="H21" s="5">
        <v>80</v>
      </c>
      <c r="I21" s="5">
        <v>80</v>
      </c>
      <c r="J21" s="5">
        <f>G21+H21+I21</f>
        <v>245</v>
      </c>
      <c r="K21" s="5">
        <f>RANK(J21,J$20:J$21,0)</f>
        <v>2</v>
      </c>
      <c r="L21" s="5">
        <f>VLOOKUP(K21,'Место-баллы'!$A$3:$B$52,2,0)</f>
        <v>95</v>
      </c>
      <c r="M21" s="45"/>
      <c r="N21" s="5">
        <f>21+38+32</f>
        <v>91</v>
      </c>
      <c r="O21" s="5">
        <f>RANK(N21,N$20:N$21,0)</f>
        <v>2</v>
      </c>
      <c r="P21" s="5">
        <f>VLOOKUP(O21,'Место-баллы'!$A$3:$B$52,2,0)</f>
        <v>95</v>
      </c>
      <c r="Q21" s="45"/>
      <c r="R21" s="5">
        <v>178</v>
      </c>
      <c r="S21" s="5">
        <f>RANK(R21,R$20:R$21,0)</f>
        <v>2</v>
      </c>
      <c r="T21" s="5">
        <f>VLOOKUP(S21,'Место-баллы'!$A$3:$B$52,2,0)</f>
        <v>95</v>
      </c>
      <c r="U21" s="45"/>
      <c r="V21" s="5">
        <v>16</v>
      </c>
      <c r="W21" s="5">
        <v>29</v>
      </c>
      <c r="X21" s="5">
        <v>24</v>
      </c>
      <c r="Y21" s="5">
        <f>V21+W21+X21</f>
        <v>69</v>
      </c>
      <c r="Z21" s="5">
        <f>RANK(Y21,Y$20:Y$21,0)</f>
        <v>2</v>
      </c>
      <c r="AA21" s="5">
        <f>VLOOKUP(Z21,'Место-баллы'!$A$3:$B$52,2,0)</f>
        <v>95</v>
      </c>
      <c r="AB21" s="45"/>
      <c r="AC21" s="5">
        <f>384+59</f>
        <v>443</v>
      </c>
      <c r="AD21" s="5">
        <f>RANK(AC21,AC$20:AC$21,0)</f>
        <v>1</v>
      </c>
      <c r="AE21" s="5">
        <f>VLOOKUP(AD21,'Место-баллы'!$A$3:$B$52,2,0)</f>
        <v>100</v>
      </c>
    </row>
    <row r="22" spans="1:31" ht="15.75" customHeight="1" x14ac:dyDescent="0.25">
      <c r="A22" s="18"/>
    </row>
    <row r="23" spans="1:31" ht="15.75" customHeight="1" outlineLevel="1" x14ac:dyDescent="0.35">
      <c r="A23" s="18"/>
      <c r="B23" s="40" t="s">
        <v>22</v>
      </c>
      <c r="C23" s="40"/>
      <c r="D23" s="40"/>
      <c r="E23" s="40"/>
      <c r="F23" s="40"/>
      <c r="G23" s="40"/>
      <c r="H23" s="40"/>
      <c r="I23" s="40"/>
    </row>
    <row r="24" spans="1:31" ht="15.75" customHeight="1" outlineLevel="1" x14ac:dyDescent="0.25">
      <c r="B24" s="16"/>
      <c r="C24" s="16"/>
      <c r="D24" s="16"/>
      <c r="E24" s="16"/>
    </row>
    <row r="25" spans="1:31" ht="15.75" customHeight="1" outlineLevel="1" x14ac:dyDescent="0.35">
      <c r="B25" s="40" t="s">
        <v>23</v>
      </c>
      <c r="C25" s="40"/>
      <c r="D25" s="40"/>
      <c r="E25" s="40"/>
      <c r="F25" s="40"/>
      <c r="G25" s="40"/>
      <c r="H25" s="40"/>
      <c r="I25" s="40"/>
    </row>
    <row r="26" spans="1:31" ht="15.75" customHeight="1" x14ac:dyDescent="0.25"/>
    <row r="27" spans="1:31" ht="15.75" customHeight="1" x14ac:dyDescent="0.25"/>
    <row r="28" spans="1:31" ht="15.75" customHeight="1" x14ac:dyDescent="0.25"/>
    <row r="29" spans="1:31" ht="15.75" customHeight="1" x14ac:dyDescent="0.25"/>
    <row r="30" spans="1:31" ht="15.75" customHeight="1" x14ac:dyDescent="0.25"/>
    <row r="31" spans="1:31" ht="15.75" customHeight="1" x14ac:dyDescent="0.25"/>
    <row r="32" spans="1:3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</sheetData>
  <autoFilter ref="B19:AE19" xr:uid="{30C3D5F4-5FDA-4344-88A3-7492A3F60AA8}">
    <sortState ref="B20:AE21">
      <sortCondition ref="B19"/>
    </sortState>
  </autoFilter>
  <mergeCells count="16">
    <mergeCell ref="B17:C18"/>
    <mergeCell ref="E17:E18"/>
    <mergeCell ref="G17:L18"/>
    <mergeCell ref="B7:AE7"/>
    <mergeCell ref="B8:AE8"/>
    <mergeCell ref="B9:AE9"/>
    <mergeCell ref="B11:AE11"/>
    <mergeCell ref="N17:P18"/>
    <mergeCell ref="R17:T18"/>
    <mergeCell ref="V17:AA18"/>
    <mergeCell ref="AC17:AE18"/>
    <mergeCell ref="B1:AE1"/>
    <mergeCell ref="B2:AE2"/>
    <mergeCell ref="B3:AE3"/>
    <mergeCell ref="B4:AE4"/>
    <mergeCell ref="B6:AE6"/>
  </mergeCells>
  <printOptions horizontalCentered="1" verticalCentered="1"/>
  <pageMargins left="0" right="0" top="0" bottom="0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Место-баллы</vt:lpstr>
      <vt:lpstr>14-15 Ж до 53 кг</vt:lpstr>
      <vt:lpstr>14-15 Ж 53+ кг</vt:lpstr>
      <vt:lpstr>16-17 Ж до 58 кг</vt:lpstr>
      <vt:lpstr>16-17 Ж 58+ кг</vt:lpstr>
      <vt:lpstr>14-15 М до 60 кг</vt:lpstr>
      <vt:lpstr>14-15 М 60+ кг</vt:lpstr>
      <vt:lpstr>16-17 М до 70 кг</vt:lpstr>
      <vt:lpstr>16-17 М 70+ кг</vt:lpstr>
      <vt:lpstr>18-20 М до 85 кг</vt:lpstr>
      <vt:lpstr>18-20 М 85+ кг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Reseption</dc:creator>
  <cp:lastModifiedBy>hp</cp:lastModifiedBy>
  <cp:lastPrinted>2020-01-26T09:08:16Z</cp:lastPrinted>
  <dcterms:created xsi:type="dcterms:W3CDTF">2017-08-12T14:09:08Z</dcterms:created>
  <dcterms:modified xsi:type="dcterms:W3CDTF">2020-01-26T09:28:09Z</dcterms:modified>
</cp:coreProperties>
</file>